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PhotographyMisc\Canvas wrap calculator\"/>
    </mc:Choice>
  </mc:AlternateContent>
  <xr:revisionPtr revIDLastSave="0" documentId="8_{D69CE4F9-F316-4066-9A2B-A15395ECC654}" xr6:coauthVersionLast="47" xr6:coauthVersionMax="47" xr10:uidLastSave="{00000000-0000-0000-0000-000000000000}"/>
  <bookViews>
    <workbookView xWindow="90" yWindow="105" windowWidth="36885" windowHeight="206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1" l="1"/>
  <c r="F36" i="1"/>
  <c r="AC37" i="1"/>
  <c r="AC36" i="1"/>
  <c r="AC34" i="1"/>
  <c r="AC28" i="1"/>
  <c r="AC24" i="1"/>
  <c r="W80" i="1"/>
  <c r="W83" i="1"/>
  <c r="AC48" i="1"/>
  <c r="AC23" i="1"/>
  <c r="AC32" i="1"/>
  <c r="P12" i="1"/>
  <c r="R82" i="1"/>
  <c r="AC22" i="1"/>
  <c r="AC31" i="1"/>
  <c r="V67" i="1"/>
  <c r="T67" i="1"/>
  <c r="Y67" i="1"/>
  <c r="X67" i="1"/>
  <c r="W67" i="1"/>
  <c r="U67" i="1"/>
  <c r="S67" i="1"/>
  <c r="V66" i="1"/>
  <c r="T66" i="1"/>
  <c r="Y66" i="1"/>
  <c r="X66" i="1"/>
  <c r="W66" i="1"/>
  <c r="U66" i="1"/>
  <c r="S66" i="1"/>
  <c r="F53" i="1"/>
  <c r="M26" i="1"/>
  <c r="F51" i="1"/>
  <c r="D70" i="1"/>
  <c r="C70" i="1"/>
  <c r="F70" i="1"/>
  <c r="B68" i="1"/>
  <c r="C68" i="1" s="1"/>
  <c r="B67" i="1"/>
  <c r="C67" i="1" s="1"/>
  <c r="B66" i="1"/>
  <c r="D66" i="1" s="1"/>
  <c r="B65" i="1"/>
  <c r="C65" i="1" s="1"/>
  <c r="B64" i="1"/>
  <c r="D64" i="1" s="1"/>
  <c r="B63" i="1"/>
  <c r="C63" i="1" s="1"/>
  <c r="B62" i="1"/>
  <c r="C62" i="1" s="1"/>
  <c r="B61" i="1"/>
  <c r="C61" i="1" s="1"/>
  <c r="B60" i="1"/>
  <c r="C60" i="1" s="1"/>
  <c r="B59" i="1"/>
  <c r="C59" i="1" s="1"/>
  <c r="B58" i="1"/>
  <c r="C58" i="1" s="1"/>
  <c r="P50" i="1"/>
  <c r="P52" i="1" s="1"/>
  <c r="O50" i="1"/>
  <c r="O52" i="1" s="1"/>
  <c r="N50" i="1"/>
  <c r="N54" i="1" s="1"/>
  <c r="M50" i="1"/>
  <c r="M54" i="1" s="1"/>
  <c r="L50" i="1"/>
  <c r="L54" i="1" s="1"/>
  <c r="K50" i="1"/>
  <c r="K54" i="1" s="1"/>
  <c r="J50" i="1"/>
  <c r="J54" i="1" s="1"/>
  <c r="I50" i="1"/>
  <c r="I54" i="1" s="1"/>
  <c r="H50" i="1"/>
  <c r="H54" i="1" s="1"/>
  <c r="G50" i="1"/>
  <c r="G54" i="1" s="1"/>
  <c r="F50" i="1"/>
  <c r="F52" i="1" s="1"/>
  <c r="P47" i="1"/>
  <c r="O47" i="1"/>
  <c r="N47" i="1"/>
  <c r="M47" i="1"/>
  <c r="L47" i="1"/>
  <c r="K47" i="1"/>
  <c r="J47" i="1"/>
  <c r="I47" i="1"/>
  <c r="H47" i="1"/>
  <c r="G47" i="1"/>
  <c r="F47" i="1"/>
  <c r="H52" i="1" l="1"/>
  <c r="L52" i="1"/>
  <c r="J52" i="1"/>
  <c r="I52" i="1"/>
  <c r="K52" i="1"/>
  <c r="O54" i="1"/>
  <c r="M52" i="1"/>
  <c r="N52" i="1"/>
  <c r="D68" i="1"/>
  <c r="G52" i="1"/>
  <c r="P54" i="1"/>
  <c r="D58" i="1"/>
  <c r="D59" i="1"/>
  <c r="D62" i="1"/>
  <c r="D63" i="1"/>
  <c r="D65" i="1"/>
  <c r="D61" i="1"/>
  <c r="F54" i="1"/>
  <c r="D60" i="1"/>
  <c r="D67" i="1"/>
  <c r="C66" i="1"/>
  <c r="C64" i="1"/>
  <c r="L18" i="1" l="1"/>
  <c r="E18" i="1"/>
  <c r="F20" i="1"/>
  <c r="P15" i="1"/>
  <c r="L16" i="1"/>
  <c r="M16" i="1" s="1"/>
  <c r="E16" i="1"/>
  <c r="L22" i="1"/>
  <c r="E22" i="1"/>
  <c r="X76" i="1"/>
  <c r="F7" i="1"/>
  <c r="M21" i="1"/>
  <c r="M15" i="1"/>
  <c r="F15" i="1"/>
  <c r="F8" i="1"/>
  <c r="M7" i="1"/>
  <c r="E17" i="1"/>
  <c r="L8" i="1"/>
  <c r="X80" i="1"/>
  <c r="L17" i="1"/>
  <c r="M17" i="1" s="1"/>
  <c r="E37" i="1"/>
  <c r="M22" i="1" l="1"/>
  <c r="E32" i="1"/>
  <c r="P57" i="1"/>
  <c r="O57" i="1"/>
  <c r="N57" i="1"/>
  <c r="M57" i="1"/>
  <c r="L57" i="1"/>
  <c r="K57" i="1"/>
  <c r="J57" i="1"/>
  <c r="I57" i="1"/>
  <c r="H57" i="1"/>
  <c r="G57" i="1"/>
  <c r="F57" i="1"/>
  <c r="F56" i="1"/>
  <c r="F17" i="1"/>
  <c r="F22" i="1"/>
  <c r="E25" i="1"/>
  <c r="E70" i="1"/>
  <c r="E66" i="1"/>
  <c r="E67" i="1"/>
  <c r="E61" i="1"/>
  <c r="E68" i="1"/>
  <c r="E64" i="1"/>
  <c r="E59" i="1"/>
  <c r="E65" i="1"/>
  <c r="E60" i="1"/>
  <c r="E62" i="1"/>
  <c r="E58" i="1"/>
  <c r="E63" i="1"/>
  <c r="L25" i="1"/>
  <c r="M25" i="1" s="1"/>
  <c r="E40" i="1"/>
  <c r="AC33" i="1"/>
  <c r="AC35" i="1"/>
  <c r="P16" i="1"/>
  <c r="F9" i="1"/>
  <c r="P17" i="1"/>
  <c r="F16" i="1"/>
  <c r="M8" i="1"/>
  <c r="X83" i="1"/>
  <c r="E31" i="1" l="1"/>
  <c r="E26" i="1"/>
  <c r="E29" i="1" s="1"/>
  <c r="F25" i="1"/>
  <c r="H62" i="1"/>
  <c r="I67" i="1"/>
  <c r="J61" i="1"/>
  <c r="G68" i="1"/>
  <c r="G61" i="1"/>
  <c r="G58" i="1"/>
  <c r="G59" i="1"/>
  <c r="G62" i="1"/>
  <c r="G67" i="1"/>
  <c r="G63" i="1"/>
  <c r="G66" i="1"/>
  <c r="G60" i="1"/>
  <c r="M66" i="1"/>
  <c r="M59" i="1"/>
  <c r="M65" i="1"/>
  <c r="M62" i="1"/>
  <c r="M61" i="1"/>
  <c r="M60" i="1"/>
  <c r="M64" i="1"/>
  <c r="M58" i="1"/>
  <c r="M63" i="1"/>
  <c r="M67" i="1"/>
  <c r="M68" i="1"/>
  <c r="I68" i="1"/>
  <c r="I65" i="1"/>
  <c r="I64" i="1"/>
  <c r="I58" i="1"/>
  <c r="I60" i="1"/>
  <c r="I66" i="1"/>
  <c r="I61" i="1"/>
  <c r="I62" i="1"/>
  <c r="I59" i="1"/>
  <c r="I63" i="1"/>
  <c r="J63" i="1"/>
  <c r="J62" i="1"/>
  <c r="J65" i="1"/>
  <c r="J64" i="1"/>
  <c r="J68" i="1"/>
  <c r="J67" i="1"/>
  <c r="J59" i="1"/>
  <c r="J60" i="1"/>
  <c r="J66" i="1"/>
  <c r="G65" i="1"/>
  <c r="N62" i="1"/>
  <c r="N58" i="1"/>
  <c r="N68" i="1"/>
  <c r="N61" i="1"/>
  <c r="N67" i="1"/>
  <c r="N65" i="1"/>
  <c r="N66" i="1"/>
  <c r="N63" i="1"/>
  <c r="N59" i="1"/>
  <c r="N64" i="1"/>
  <c r="N60" i="1"/>
  <c r="O68" i="1"/>
  <c r="O60" i="1"/>
  <c r="O64" i="1"/>
  <c r="O65" i="1"/>
  <c r="O58" i="1"/>
  <c r="O62" i="1"/>
  <c r="O63" i="1"/>
  <c r="O61" i="1"/>
  <c r="O67" i="1"/>
  <c r="O66" i="1"/>
  <c r="J58" i="1"/>
  <c r="L66" i="1"/>
  <c r="L64" i="1"/>
  <c r="L67" i="1"/>
  <c r="L59" i="1"/>
  <c r="L68" i="1"/>
  <c r="L65" i="1"/>
  <c r="L60" i="1"/>
  <c r="L63" i="1"/>
  <c r="L58" i="1"/>
  <c r="L62" i="1"/>
  <c r="L61" i="1"/>
  <c r="K68" i="1"/>
  <c r="K63" i="1"/>
  <c r="K64" i="1"/>
  <c r="K67" i="1"/>
  <c r="K59" i="1"/>
  <c r="K65" i="1"/>
  <c r="K60" i="1"/>
  <c r="K62" i="1"/>
  <c r="K61" i="1"/>
  <c r="K66" i="1"/>
  <c r="K58" i="1"/>
  <c r="P59" i="1"/>
  <c r="P63" i="1"/>
  <c r="P65" i="1"/>
  <c r="P60" i="1"/>
  <c r="P64" i="1"/>
  <c r="P58" i="1"/>
  <c r="P61" i="1"/>
  <c r="P62" i="1"/>
  <c r="P66" i="1"/>
  <c r="P67" i="1"/>
  <c r="H61" i="1"/>
  <c r="H68" i="1"/>
  <c r="H64" i="1"/>
  <c r="H67" i="1"/>
  <c r="H58" i="1"/>
  <c r="H59" i="1"/>
  <c r="H60" i="1"/>
  <c r="H63" i="1"/>
  <c r="H65" i="1"/>
  <c r="H66" i="1"/>
  <c r="O59" i="1"/>
  <c r="G64" i="1"/>
  <c r="P68" i="1"/>
  <c r="F67" i="1"/>
  <c r="F59" i="1"/>
  <c r="F68" i="1"/>
  <c r="F63" i="1"/>
  <c r="F58" i="1"/>
  <c r="F60" i="1"/>
  <c r="F66" i="1"/>
  <c r="F65" i="1"/>
  <c r="F61" i="1"/>
  <c r="F62" i="1"/>
  <c r="F64" i="1"/>
  <c r="AC47" i="1" l="1"/>
  <c r="L27" i="1"/>
  <c r="AC45" i="1"/>
  <c r="M40" i="1"/>
  <c r="E41" i="1" s="1"/>
  <c r="M41" i="1" s="1"/>
  <c r="M37" i="1"/>
  <c r="E38" i="1" s="1"/>
  <c r="M38" i="1" s="1"/>
  <c r="E30" i="1" l="1"/>
  <c r="M27" i="1"/>
  <c r="W64" i="1"/>
</calcChain>
</file>

<file path=xl/sharedStrings.xml><?xml version="1.0" encoding="utf-8"?>
<sst xmlns="http://schemas.openxmlformats.org/spreadsheetml/2006/main" count="265" uniqueCount="212">
  <si>
    <t>cm</t>
  </si>
  <si>
    <t>A4</t>
  </si>
  <si>
    <t>Sheet aspect ratios</t>
  </si>
  <si>
    <t>px</t>
  </si>
  <si>
    <t>P8247796</t>
  </si>
  <si>
    <t>Lightroom</t>
  </si>
  <si>
    <t>Corel Draw</t>
  </si>
  <si>
    <t>File Manager</t>
  </si>
  <si>
    <t>Excel</t>
  </si>
  <si>
    <t>Notes</t>
  </si>
  <si>
    <t>Allow at least 1½" margin all round of canvas, of which</t>
  </si>
  <si>
    <t>Different for height?</t>
  </si>
  <si>
    <t>Required image width</t>
  </si>
  <si>
    <t>Required image AR</t>
  </si>
  <si>
    <r>
      <rPr>
        <b/>
        <i/>
        <u/>
        <sz val="11"/>
        <color theme="1"/>
        <rFont val="Calibri"/>
        <family val="2"/>
        <scheme val="minor"/>
      </rPr>
      <t>Delete the rectangle</t>
    </r>
    <r>
      <rPr>
        <b/>
        <i/>
        <sz val="11"/>
        <color theme="1"/>
        <rFont val="Calibri"/>
        <family val="2"/>
        <scheme val="minor"/>
      </rPr>
      <t>.</t>
    </r>
  </si>
  <si>
    <t>Postage in a tube</t>
  </si>
  <si>
    <t>Max size for postage to Europe by Royal Mail (max wt 2 kg)</t>
  </si>
  <si>
    <t>Then</t>
  </si>
  <si>
    <t>Major result</t>
  </si>
  <si>
    <t>Parameters</t>
  </si>
  <si>
    <t>Inputs</t>
  </si>
  <si>
    <t xml:space="preserve">   keeping width</t>
  </si>
  <si>
    <t xml:space="preserve">   resulting dpi </t>
  </si>
  <si>
    <t>round</t>
  </si>
  <si>
    <t>Advisories</t>
  </si>
  <si>
    <t xml:space="preserve">  different aspect ratio (AR).  This preparation is done in </t>
  </si>
  <si>
    <t xml:space="preserve">  required AR in the cropping tool and then moving the</t>
  </si>
  <si>
    <t xml:space="preserve">  crop boundaries to taste while holding the AR fixed.</t>
  </si>
  <si>
    <t xml:space="preserve">  contribute to the wrap than on another.  The worksheet</t>
  </si>
  <si>
    <t xml:space="preserve">  allows a different duplication margin in such a case.</t>
  </si>
  <si>
    <t>Gallery wrap calculations</t>
  </si>
  <si>
    <t>FYI</t>
  </si>
  <si>
    <t>Frame (bar) width</t>
  </si>
  <si>
    <t>Frame    (bar)    height</t>
  </si>
  <si>
    <t>"Standard" spreader bar lengths for canvas</t>
  </si>
  <si>
    <t>for non-Commercial use</t>
  </si>
  <si>
    <t>under the conditions of this licence as long as you Distribute under the same licence.</t>
  </si>
  <si>
    <t>This worksheet content is to be Attributed to Lester Gilbert.</t>
  </si>
  <si>
    <t>You are free to Share (to copy, distribute and transmit the worksheet content)</t>
  </si>
  <si>
    <t>and to Remix (to adapt the worksheet content)</t>
  </si>
  <si>
    <t>As input above</t>
  </si>
  <si>
    <t>Ins and outs</t>
  </si>
  <si>
    <t>OR</t>
  </si>
  <si>
    <t xml:space="preserve">  (A "standard" tube has ID=10 cm, OD=10.8 cm)</t>
  </si>
  <si>
    <t>Step</t>
  </si>
  <si>
    <t xml:space="preserve">    Workflow, mainly for gallery wrap, but also for framed photo where image edges are masked by a matte</t>
  </si>
  <si>
    <t>App</t>
  </si>
  <si>
    <t>Parameters (Step 1)</t>
  </si>
  <si>
    <t>Input the desired spreader bar width and height.</t>
  </si>
  <si>
    <t>A</t>
  </si>
  <si>
    <t>B</t>
  </si>
  <si>
    <t>C</t>
  </si>
  <si>
    <t>FYI, if AR needs changing</t>
  </si>
  <si>
    <t>Required inked margin</t>
  </si>
  <si>
    <t>Duplication required</t>
  </si>
  <si>
    <t xml:space="preserve">  [0=no, 1=yes]</t>
  </si>
  <si>
    <t>Frame (bar) height</t>
  </si>
  <si>
    <t>Margin reqd all round</t>
  </si>
  <si>
    <t>If there is image material that could be used to provide some (or all) of the necessary inked wrap margin, it is highly desirable to retain this</t>
  </si>
  <si>
    <t>http://creativecommons.org/licenses/by-nc-sa/3.0/</t>
  </si>
  <si>
    <t>In "Color Management" (right-hand side):</t>
  </si>
  <si>
    <t>(a) Set Paper size as User Defined, source as Roll Paper or Sheet as appropriate, orientation as Portrait.</t>
  </si>
  <si>
    <t>(b) In "Properties…",  (i)  Set Media Type (eg, premium canvas satin), ensure Mode is Off (no color adjustment).</t>
  </si>
  <si>
    <r>
      <rPr>
        <sz val="11"/>
        <rFont val="Calibri"/>
        <family val="2"/>
        <scheme val="minor"/>
      </rPr>
      <t>(c)</t>
    </r>
    <r>
      <rPr>
        <sz val="11"/>
        <color rgb="FFFF0000"/>
        <rFont val="Calibri"/>
        <family val="2"/>
        <scheme val="minor"/>
      </rPr>
      <t xml:space="preserve"> BE SURE to &lt;TAB&gt; out of the height setting;  &lt;RETURN&gt; or &lt;ENTER&gt; discards the keystrokes!</t>
    </r>
  </si>
  <si>
    <t>Reqd image height</t>
  </si>
  <si>
    <t>duplic.</t>
  </si>
  <si>
    <t>Inked height</t>
  </si>
  <si>
    <t>FYI, other aspect ratios</t>
  </si>
  <si>
    <t>all</t>
  </si>
  <si>
    <t>inked</t>
  </si>
  <si>
    <t>margin)</t>
  </si>
  <si>
    <t>added)</t>
  </si>
  <si>
    <t>Canvas /sheet height</t>
  </si>
  <si>
    <t>Canvas roll/sheet width</t>
  </si>
  <si>
    <t>Inked width</t>
  </si>
  <si>
    <t>Canvas/sheet width</t>
  </si>
  <si>
    <t>Canvas/sheet height</t>
  </si>
  <si>
    <t>AR:</t>
  </si>
  <si>
    <t>Dup. margin left &amp; right</t>
  </si>
  <si>
    <t>Dup. margin top &amp; bottom</t>
  </si>
  <si>
    <t>Reqd height dup. if so</t>
  </si>
  <si>
    <t>Required image height</t>
  </si>
  <si>
    <t>pixels</t>
  </si>
  <si>
    <t>inches</t>
  </si>
  <si>
    <t>Leave non-input cells alone!  Apparently 'simple' text and 'blank' cells have formulas!</t>
  </si>
  <si>
    <t xml:space="preserve">Print width check - </t>
  </si>
  <si>
    <t>height</t>
  </si>
  <si>
    <t>width</t>
  </si>
  <si>
    <t>A3</t>
  </si>
  <si>
    <t>A5</t>
  </si>
  <si>
    <t>FYI, postage tubes</t>
  </si>
  <si>
    <t xml:space="preserve">  1" is inked, ie nicely greater than the stretcher bar</t>
  </si>
  <si>
    <t xml:space="preserve">  thickness, to provide for the wrap of the canvas to the</t>
  </si>
  <si>
    <t xml:space="preserve">  frame.</t>
  </si>
  <si>
    <t xml:space="preserve">  a significant or important part of the print to the wrap.</t>
  </si>
  <si>
    <t xml:space="preserve">  (inked AR = 1.31) to provide for the 1" wrap.</t>
  </si>
  <si>
    <t xml:space="preserve">  ½" of material would be need to be added by mirroring and</t>
  </si>
  <si>
    <t xml:space="preserve">  re-crop it so as to include less important edge material to</t>
  </si>
  <si>
    <t xml:space="preserve">  be used in the wrap.</t>
  </si>
  <si>
    <t>Otherwise, wrap imagery can be added by duplicating</t>
  </si>
  <si>
    <t>Example working for canvas gallery wrap</t>
  </si>
  <si>
    <t>17a</t>
  </si>
  <si>
    <t xml:space="preserve">Revision - </t>
  </si>
  <si>
    <t xml:space="preserve">  or significant detail to the image in view.</t>
  </si>
  <si>
    <t xml:space="preserve">  In this option, there is always concern whether the mirrored</t>
  </si>
  <si>
    <t>FYI results</t>
  </si>
  <si>
    <t>Import the Step 20 image.  Go to the LR &lt;Print&gt; window.  The following suggested printer dialogue is for the Epson SC-P800 driver.</t>
  </si>
  <si>
    <t xml:space="preserve">                                      (ii)  In "User Defined…", ensure Unit is inch (bottom of the window).</t>
  </si>
  <si>
    <t>b. Set Intent Perceptual.</t>
  </si>
  <si>
    <r>
      <t xml:space="preserve">Click on "Page Setup …" (bottom </t>
    </r>
    <r>
      <rPr>
        <u/>
        <sz val="11"/>
        <color theme="1"/>
        <rFont val="Calibri"/>
        <family val="2"/>
        <scheme val="minor"/>
      </rPr>
      <t>left</t>
    </r>
    <r>
      <rPr>
        <sz val="11"/>
        <color theme="1"/>
        <rFont val="Calibri"/>
        <family val="2"/>
        <scheme val="minor"/>
      </rPr>
      <t xml:space="preserve"> of LR print window)</t>
    </r>
  </si>
  <si>
    <r>
      <t xml:space="preserve">Click on "Print" (bottom </t>
    </r>
    <r>
      <rPr>
        <u/>
        <sz val="11"/>
        <color theme="1"/>
        <rFont val="Calibri"/>
        <family val="2"/>
        <scheme val="minor"/>
      </rPr>
      <t>right</t>
    </r>
    <r>
      <rPr>
        <sz val="11"/>
        <color theme="1"/>
        <rFont val="Calibri"/>
        <family val="2"/>
        <scheme val="minor"/>
      </rPr>
      <t xml:space="preserve"> of LR print window).  Ignore awful print driver preview if present and click "Print" again.</t>
    </r>
  </si>
  <si>
    <t xml:space="preserve">  frame (frame AR = 1.36).  The inked print needs to be 21 × 16</t>
  </si>
  <si>
    <t>Terms.  The image in view is presented by the frame, eg 14" × 17".  The inked image must be larger.  A gallery wrap requires additional imagery all</t>
  </si>
  <si>
    <t>5×4</t>
  </si>
  <si>
    <t>22×17</t>
  </si>
  <si>
    <t>16×12</t>
  </si>
  <si>
    <t>14×10</t>
  </si>
  <si>
    <t>12×8</t>
  </si>
  <si>
    <t>16×10</t>
  </si>
  <si>
    <t>10×8</t>
  </si>
  <si>
    <t>11×8.5</t>
  </si>
  <si>
    <t>8×6</t>
  </si>
  <si>
    <t>7×5</t>
  </si>
  <si>
    <t>6×4</t>
  </si>
  <si>
    <t>8×5</t>
  </si>
  <si>
    <t>Length + 2 × diameter must be no more than 104 cm (41")</t>
  </si>
  <si>
    <t>Photo file name</t>
  </si>
  <si>
    <t>Photo width</t>
  </si>
  <si>
    <t>Photo height</t>
  </si>
  <si>
    <t xml:space="preserve">Simply printing the photo 1" larger all round usually loses </t>
  </si>
  <si>
    <t xml:space="preserve">If the photo was cropped originally, the better option is to </t>
  </si>
  <si>
    <t xml:space="preserve">  and mirroring the material at the edges of the photo.</t>
  </si>
  <si>
    <t xml:space="preserve">  duplication may require the photo to be prepared with a</t>
  </si>
  <si>
    <t>It may be that a photo has more material on one edge to</t>
  </si>
  <si>
    <t>If the photo does not originate in LR, enter its pixel dimensions as given in its file properties.</t>
  </si>
  <si>
    <t>Delete the photo file on the desktop that was exported from LR in Step 6.</t>
  </si>
  <si>
    <t>IF photo AR needs to be changed</t>
  </si>
  <si>
    <t xml:space="preserve">Orientation check - </t>
  </si>
  <si>
    <t>AR difference</t>
  </si>
  <si>
    <t>AR tolerance</t>
  </si>
  <si>
    <t>After printing, use LR to delete the print image imported in Step 21 earlier from both LR catalogue and computer.</t>
  </si>
  <si>
    <t>Import the photo, centre on the page.</t>
  </si>
  <si>
    <t>Select image and guide rectangle, if any, and export as 100% quality JPEG/TIF to the desktop.  Append "print image" or similar to the file name.</t>
  </si>
  <si>
    <t>a. Select Profile.  For canvas, 'CMP P800 canvas premium'.  For photo paper, an appropriate photo paper profile.</t>
  </si>
  <si>
    <t>In this workflow, the actual addition of wrap imagery is done in Corel Draw.  The Lightroom task is to prepare a photo with suitable aspect ratio (AR).</t>
  </si>
  <si>
    <t xml:space="preserve">  the photo editor (eg Lightroom) by specifying the</t>
  </si>
  <si>
    <t>Ver. 5</t>
  </si>
  <si>
    <t xml:space="preserve">  round to give the required 21 × 16 inked print.</t>
  </si>
  <si>
    <t>Editing a photo to prepare it for mirrored edge</t>
  </si>
  <si>
    <t xml:space="preserve">  duplication of image material at its edges.  The photo</t>
  </si>
  <si>
    <t xml:space="preserve">  duplicating edges.  In this case, the photo would be</t>
  </si>
  <si>
    <t>For example, consider a photo of 5184 × 3888 pixels (image</t>
  </si>
  <si>
    <t xml:space="preserve">  AR = 1.33) to be printed onto canvas and wrapped to a 19 × 14</t>
  </si>
  <si>
    <t xml:space="preserve">  The photo would be prepared to the frame AR of 1.36.</t>
  </si>
  <si>
    <t xml:space="preserve">  would need to be prepared to the inked AR of 1.31.  The</t>
  </si>
  <si>
    <t xml:space="preserve">  AR crop, and the 1" wrap, might lead to the loss of important</t>
  </si>
  <si>
    <t xml:space="preserve">  additional material for the wrap might detract from the print.</t>
  </si>
  <si>
    <t>1. One option is to print the photo out at 21 × 16, with no mirrored</t>
  </si>
  <si>
    <t>2. Or, prepare the photo to fill the size of the frame at 19 × 14</t>
  </si>
  <si>
    <t xml:space="preserve">  and add mirrored duplication of the photo edges for the 1" wrap.</t>
  </si>
  <si>
    <t>3. Or, inspect the photo and see if it could lose some of</t>
  </si>
  <si>
    <t xml:space="preserve">  its edges to the 1" wrap, perhaps ½", meaning that a further</t>
  </si>
  <si>
    <t xml:space="preserve">  prepared to 20 × 15 with provision for ½" duplication all </t>
  </si>
  <si>
    <t>In this third option, the AR of the required 20 × 15 is 1.33,</t>
  </si>
  <si>
    <t xml:space="preserve">  the same as the AR of the example photo (1.33) and well</t>
  </si>
  <si>
    <t xml:space="preserve">  suited to providing ½" of the 1" wrap for a 19 × 14 frame.</t>
  </si>
  <si>
    <t>landscape</t>
  </si>
  <si>
    <t>portrait</t>
  </si>
  <si>
    <t>(internally)</t>
  </si>
  <si>
    <t>Required tube:</t>
  </si>
  <si>
    <t>(externally)</t>
  </si>
  <si>
    <t>(accounting for loss of 1.27 cm to caps at each end)</t>
  </si>
  <si>
    <t>Maximum length of contents:</t>
  </si>
  <si>
    <t>(includes addition of 1.27 cm for caps at each end)</t>
  </si>
  <si>
    <t>Assume bundle of 4 bars plus canvas &amp; protection fits in a tube</t>
  </si>
  <si>
    <t xml:space="preserve">  which has an external diameter of</t>
  </si>
  <si>
    <t xml:space="preserve">  keeping height</t>
  </si>
  <si>
    <t xml:space="preserve">  resulting dpi</t>
  </si>
  <si>
    <t>round, eg an inked image of 16" × 19" (1" inked margin).  The canvas needs further margins for mounting, making it at least 17" × 20" (½" blank margin).</t>
  </si>
  <si>
    <t>in the image and to reduce (or eliminate) the allowance for mirrored duplication and the duplication margin (as explained in the Example working column).</t>
  </si>
  <si>
    <t>Assume the matte covers the edge of the image ¼" all round.  Then:  (1) set the paper width to the frame width + ½" (ie 2 × ¼");</t>
  </si>
  <si>
    <t>(2) set  the inked margin and margin all round to ¼";  and (3) set the duplication margin to 0".</t>
  </si>
  <si>
    <t>Input the photo width and height in pixels (as shown in LR).</t>
  </si>
  <si>
    <r>
      <t xml:space="preserve">Do not rescale the photo in LR; only hold the </t>
    </r>
    <r>
      <rPr>
        <sz val="11"/>
        <color rgb="FFFF0000"/>
        <rFont val="Calibri"/>
        <family val="2"/>
        <scheme val="minor"/>
      </rPr>
      <t>required image AR</t>
    </r>
    <r>
      <rPr>
        <sz val="11"/>
        <color theme="1"/>
        <rFont val="Calibri"/>
        <family val="2"/>
        <scheme val="minor"/>
      </rPr>
      <t xml:space="preserve"> fixed when cropping to taste .  The photo is rescaled in Step 13.</t>
    </r>
  </si>
  <si>
    <t>Do not rotate the image in LR;  edit it "normally".  Step 19 rotates a landscape image to fit portrait orientation paper or roll.</t>
  </si>
  <si>
    <t>Excel checks if additional imagery can be conveniently added to give the required inked image by comparing the required AR to the photo AR.</t>
  </si>
  <si>
    <t>Excel checks the fit of the print on the paper or roll (assumed to be loaded in portrait orientation) and may suggest image rotation at Step 19 as needed.</t>
  </si>
  <si>
    <t>Export the prepared photo as 100% quality JPEG/TIF to the desktop.  It may be useful to append "prep for print" or similar to the file name.</t>
  </si>
  <si>
    <r>
      <t xml:space="preserve">Take a preliminary run through Steps 1 to 5, estimating the duplication margins involved, and in LR adjust the photo to the </t>
    </r>
    <r>
      <rPr>
        <sz val="11"/>
        <color rgb="FFFF0000"/>
        <rFont val="Calibri"/>
        <family val="2"/>
        <scheme val="minor"/>
      </rPr>
      <t>required image AR</t>
    </r>
    <r>
      <rPr>
        <sz val="11"/>
        <color theme="1"/>
        <rFont val="Calibri"/>
        <family val="2"/>
        <scheme val="minor"/>
      </rPr>
      <t>.</t>
    </r>
  </si>
  <si>
    <t>Load the photo in Lightroom (LR) and prepare it.  Review Notes A and B below, and Note C if working on a framed photo and not a gallery wrap.</t>
  </si>
  <si>
    <t>(FYI)</t>
  </si>
  <si>
    <r>
      <t>Resulting image requirements (Step 5)</t>
    </r>
    <r>
      <rPr>
        <sz val="11"/>
        <color theme="1"/>
        <rFont val="Calibri"/>
        <family val="2"/>
        <scheme val="minor"/>
      </rPr>
      <t xml:space="preserve"> intended display orientation</t>
    </r>
  </si>
  <si>
    <r>
      <t>Set or change</t>
    </r>
    <r>
      <rPr>
        <sz val="11"/>
        <rFont val="Calibri"/>
        <family val="2"/>
        <scheme val="minor"/>
      </rPr>
      <t xml:space="preserve"> parameters</t>
    </r>
    <r>
      <rPr>
        <sz val="11"/>
        <color theme="1"/>
        <rFont val="Calibri"/>
        <family val="2"/>
        <scheme val="minor"/>
      </rPr>
      <t xml:space="preserve"> as needed (inputs in columns E and L):</t>
    </r>
  </si>
  <si>
    <t>Decide on the duplication margin(s).  If different for width and height, set the "Different for height?" to 1, else set to 0.</t>
  </si>
  <si>
    <t>Excel may suggest revision:  to try a different duplication margin in Step 4, or to adjust the photo in LR to the required image AR and return to Step 2.</t>
  </si>
  <si>
    <t>Hence blank margin</t>
  </si>
  <si>
    <r>
      <t xml:space="preserve">See </t>
    </r>
    <r>
      <rPr>
        <sz val="11"/>
        <color rgb="FFFF0000"/>
        <rFont val="Calibri"/>
        <family val="2"/>
        <scheme val="minor"/>
      </rPr>
      <t>reqd AR</t>
    </r>
    <r>
      <rPr>
        <sz val="11"/>
        <color theme="1"/>
        <rFont val="Calibri"/>
        <family val="2"/>
        <scheme val="minor"/>
      </rPr>
      <t xml:space="preserve"> below</t>
    </r>
  </si>
  <si>
    <t>Create a new page (suggest A2) in Corel Draw that is portrait or landscape to suit the print as it will be displayed.</t>
  </si>
  <si>
    <t>Set Snap to Page, to Guideline, and to Object.  Set units to inches.  Set nudge to ¼".</t>
  </si>
  <si>
    <r>
      <t>Image duplication for wrap (Step 4)</t>
    </r>
    <r>
      <rPr>
        <sz val="11"/>
        <color theme="1"/>
        <rFont val="Calibri"/>
        <family val="2"/>
        <scheme val="minor"/>
      </rPr>
      <t xml:space="preserve"> at intended display orientation</t>
    </r>
  </si>
  <si>
    <r>
      <t>Frame (Step 3)</t>
    </r>
    <r>
      <rPr>
        <sz val="11"/>
        <color theme="1"/>
        <rFont val="Calibri"/>
        <family val="2"/>
        <scheme val="minor"/>
      </rPr>
      <t xml:space="preserve"> at intended display orientation</t>
    </r>
  </si>
  <si>
    <r>
      <t>Photo (Step 2)</t>
    </r>
    <r>
      <rPr>
        <sz val="11"/>
        <color theme="1"/>
        <rFont val="Calibri"/>
        <family val="2"/>
        <scheme val="minor"/>
      </rPr>
      <t xml:space="preserve"> at intended display orientation</t>
    </r>
  </si>
  <si>
    <t>If an imperfect fit, resize so that at least every guideline is on, or inside, the image.</t>
  </si>
  <si>
    <t>Delete the duplication starting guidelines (if any).</t>
  </si>
  <si>
    <t>c. Set Print Adjustment.  For canvas, suggest Brightness +15 to +20, Contrast 0.</t>
  </si>
  <si>
    <r>
      <t xml:space="preserve">The workflow starts with a photo that is prepared for printing by adjusting it to the </t>
    </r>
    <r>
      <rPr>
        <sz val="11"/>
        <color rgb="FFFF0000"/>
        <rFont val="Calibri"/>
        <family val="2"/>
        <scheme val="minor"/>
      </rPr>
      <t>required image AR</t>
    </r>
    <r>
      <rPr>
        <sz val="11"/>
        <color theme="1"/>
        <rFont val="Calibri"/>
        <family val="2"/>
        <scheme val="minor"/>
      </rPr>
      <t>.  It is resized in Step 13 as needed (not before!).</t>
    </r>
  </si>
  <si>
    <t>When the wrap has been added to the image in Steps 15 &amp; 16 and is finalised for printing at Step 20, it is a print image.</t>
  </si>
  <si>
    <t>For a photo paper print to be fitted into a matted frame, set the frame width and height to the width and height of the matte aperture.</t>
  </si>
  <si>
    <r>
      <rPr>
        <b/>
        <sz val="11"/>
        <color theme="4" tint="0.39997558519241921"/>
        <rFont val="Calibri"/>
        <family val="2"/>
        <scheme val="minor"/>
      </rPr>
      <t>then</t>
    </r>
    <r>
      <rPr>
        <sz val="11"/>
        <rFont val="Calibri"/>
        <family val="2"/>
        <scheme val="minor"/>
      </rPr>
      <t xml:space="preserve"> required edit height is</t>
    </r>
  </si>
  <si>
    <r>
      <rPr>
        <b/>
        <sz val="11"/>
        <color theme="4" tint="0.39997558519241921"/>
        <rFont val="Calibri"/>
        <family val="2"/>
        <scheme val="minor"/>
      </rPr>
      <t>then</t>
    </r>
    <r>
      <rPr>
        <sz val="11"/>
        <color theme="1"/>
        <rFont val="Calibri"/>
        <family val="2"/>
        <scheme val="minor"/>
      </rPr>
      <t xml:space="preserve"> required edit width is</t>
    </r>
  </si>
  <si>
    <t>FYI, dimensions &amp; aspect ratios</t>
  </si>
  <si>
    <t xml:space="preserve">© 2025 Lester Gilbert, Creative Commons Attribution-Noncommercial-Share Alike 3.0 Unported Licence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</si>
</sst>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
  </numFmts>
  <fonts count="1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sz val="11"/>
      <color theme="5"/>
      <name val="Calibri"/>
      <family val="2"/>
      <scheme val="minor"/>
    </font>
    <font>
      <b/>
      <i/>
      <u/>
      <sz val="11"/>
      <color theme="1"/>
      <name val="Calibri"/>
      <family val="2"/>
      <scheme val="minor"/>
    </font>
    <font>
      <u/>
      <sz val="11"/>
      <color theme="1"/>
      <name val="Calibri"/>
      <family val="2"/>
      <scheme val="minor"/>
    </font>
    <font>
      <u/>
      <sz val="11"/>
      <color theme="10"/>
      <name val="Calibri"/>
      <family val="2"/>
      <scheme val="minor"/>
    </font>
    <font>
      <b/>
      <sz val="14"/>
      <color theme="1"/>
      <name val="Calibri"/>
      <family val="2"/>
      <scheme val="minor"/>
    </font>
    <font>
      <sz val="10"/>
      <color rgb="FF000000"/>
      <name val="Calibri"/>
      <family val="2"/>
      <scheme val="minor"/>
    </font>
    <font>
      <b/>
      <sz val="11"/>
      <color theme="4" tint="0.39997558519241921"/>
      <name val="Calibri"/>
      <family val="2"/>
      <scheme val="minor"/>
    </font>
    <font>
      <sz val="11"/>
      <color theme="0"/>
      <name val="Calibri"/>
      <family val="2"/>
      <scheme val="minor"/>
    </font>
    <font>
      <b/>
      <sz val="11"/>
      <color theme="9"/>
      <name val="Calibri"/>
      <family val="2"/>
      <scheme val="minor"/>
    </font>
    <font>
      <b/>
      <sz val="11"/>
      <color theme="5"/>
      <name val="Calibri"/>
      <family val="2"/>
      <scheme val="minor"/>
    </font>
    <font>
      <i/>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xf numFmtId="0" fontId="8" fillId="0" borderId="0" applyNumberFormat="0" applyFill="0" applyBorder="0" applyAlignment="0" applyProtection="0"/>
  </cellStyleXfs>
  <cellXfs count="110">
    <xf numFmtId="0" fontId="0" fillId="0" borderId="0" xfId="0"/>
    <xf numFmtId="0" fontId="0" fillId="0" borderId="0" xfId="0" quotePrefix="1" applyAlignment="1">
      <alignment horizontal="right"/>
    </xf>
    <xf numFmtId="0" fontId="0" fillId="0" borderId="0" xfId="0" applyAlignment="1">
      <alignment horizontal="right"/>
    </xf>
    <xf numFmtId="2" fontId="0" fillId="0" borderId="0" xfId="0" applyNumberFormat="1"/>
    <xf numFmtId="164" fontId="0" fillId="0" borderId="0" xfId="0" applyNumberFormat="1"/>
    <xf numFmtId="1" fontId="0" fillId="0" borderId="0" xfId="0" applyNumberFormat="1"/>
    <xf numFmtId="0" fontId="0" fillId="0" borderId="0" xfId="0" applyAlignment="1">
      <alignment horizontal="left"/>
    </xf>
    <xf numFmtId="0" fontId="0" fillId="2" borderId="0" xfId="0" applyFill="1"/>
    <xf numFmtId="0" fontId="4" fillId="0" borderId="0" xfId="0" applyFont="1" applyAlignment="1">
      <alignment horizontal="left"/>
    </xf>
    <xf numFmtId="0" fontId="4" fillId="0" borderId="0" xfId="0" applyFont="1"/>
    <xf numFmtId="0" fontId="0" fillId="3" borderId="0" xfId="0" applyFill="1"/>
    <xf numFmtId="0" fontId="0" fillId="0" borderId="0" xfId="0" quotePrefix="1"/>
    <xf numFmtId="0" fontId="0" fillId="0" borderId="0" xfId="0" applyAlignment="1">
      <alignment horizontal="center"/>
    </xf>
    <xf numFmtId="0" fontId="5" fillId="0" borderId="0" xfId="0" applyFont="1"/>
    <xf numFmtId="0" fontId="3" fillId="0" borderId="0" xfId="0" applyFont="1"/>
    <xf numFmtId="0" fontId="2" fillId="0" borderId="0" xfId="0" applyFont="1" applyAlignment="1">
      <alignment horizontal="left"/>
    </xf>
    <xf numFmtId="164" fontId="0" fillId="3" borderId="0" xfId="0" applyNumberFormat="1" applyFill="1"/>
    <xf numFmtId="0" fontId="3" fillId="2" borderId="0" xfId="0" applyFont="1" applyFill="1" applyAlignment="1">
      <alignment horizontal="center"/>
    </xf>
    <xf numFmtId="2" fontId="0" fillId="3" borderId="4" xfId="0" applyNumberFormat="1" applyFill="1" applyBorder="1"/>
    <xf numFmtId="0" fontId="0" fillId="5" borderId="0" xfId="0" applyFill="1"/>
    <xf numFmtId="165" fontId="0" fillId="5" borderId="0" xfId="0" applyNumberFormat="1" applyFill="1"/>
    <xf numFmtId="0" fontId="1" fillId="0" borderId="0" xfId="0" applyFont="1"/>
    <xf numFmtId="0" fontId="0" fillId="0" borderId="6" xfId="0" applyBorder="1"/>
    <xf numFmtId="0" fontId="9" fillId="0" borderId="0" xfId="0" applyFont="1"/>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right" vertical="center"/>
    </xf>
    <xf numFmtId="0" fontId="10" fillId="0" borderId="0" xfId="0" applyFont="1"/>
    <xf numFmtId="0" fontId="0" fillId="7" borderId="0" xfId="0" applyFill="1"/>
    <xf numFmtId="0" fontId="11" fillId="0" borderId="0" xfId="0" applyFont="1"/>
    <xf numFmtId="0" fontId="1" fillId="0" borderId="7" xfId="0" applyFont="1" applyBorder="1"/>
    <xf numFmtId="0" fontId="0" fillId="0" borderId="7" xfId="0" applyBorder="1"/>
    <xf numFmtId="0" fontId="1" fillId="0" borderId="7" xfId="0" applyFont="1" applyBorder="1" applyAlignment="1">
      <alignment horizontal="left"/>
    </xf>
    <xf numFmtId="0" fontId="0" fillId="0" borderId="7" xfId="0" applyBorder="1" applyAlignment="1">
      <alignment horizontal="center"/>
    </xf>
    <xf numFmtId="0" fontId="0" fillId="3" borderId="0" xfId="0" applyFill="1" applyAlignment="1">
      <alignment horizontal="center"/>
    </xf>
    <xf numFmtId="0" fontId="1" fillId="0" borderId="7" xfId="0" applyFont="1" applyBorder="1" applyAlignment="1">
      <alignment horizontal="center"/>
    </xf>
    <xf numFmtId="0" fontId="8" fillId="0" borderId="6" xfId="1" applyBorder="1"/>
    <xf numFmtId="0" fontId="12" fillId="0" borderId="0" xfId="0" applyFont="1"/>
    <xf numFmtId="0" fontId="1" fillId="0" borderId="10" xfId="0" applyFont="1" applyBorder="1" applyAlignment="1">
      <alignment horizontal="center"/>
    </xf>
    <xf numFmtId="0" fontId="1" fillId="0" borderId="1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 fillId="0" borderId="0" xfId="0" applyFont="1" applyAlignment="1">
      <alignment vertical="top" wrapText="1"/>
    </xf>
    <xf numFmtId="0" fontId="0" fillId="0" borderId="0" xfId="0" applyAlignment="1">
      <alignment vertical="top" wrapText="1"/>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2" fontId="0" fillId="0" borderId="8" xfId="0" applyNumberFormat="1" applyBorder="1" applyAlignment="1">
      <alignment horizontal="center"/>
    </xf>
    <xf numFmtId="2" fontId="0" fillId="0" borderId="6" xfId="0" applyNumberFormat="1" applyBorder="1" applyAlignment="1">
      <alignment horizontal="center"/>
    </xf>
    <xf numFmtId="2" fontId="0" fillId="0" borderId="9" xfId="0" applyNumberFormat="1" applyBorder="1" applyAlignment="1">
      <alignment horizontal="center"/>
    </xf>
    <xf numFmtId="2" fontId="0" fillId="0" borderId="15" xfId="0" applyNumberFormat="1" applyBorder="1" applyAlignment="1">
      <alignment horizontal="center"/>
    </xf>
    <xf numFmtId="2" fontId="0" fillId="0" borderId="0" xfId="0" applyNumberFormat="1" applyAlignment="1">
      <alignment horizontal="center"/>
    </xf>
    <xf numFmtId="2" fontId="0" fillId="0" borderId="16" xfId="0" applyNumberFormat="1" applyBorder="1" applyAlignment="1">
      <alignment horizontal="center"/>
    </xf>
    <xf numFmtId="2" fontId="0" fillId="0" borderId="10" xfId="0" applyNumberFormat="1" applyBorder="1" applyAlignment="1">
      <alignment horizontal="center"/>
    </xf>
    <xf numFmtId="2" fontId="0" fillId="0" borderId="7" xfId="0" applyNumberFormat="1" applyBorder="1" applyAlignment="1">
      <alignment horizontal="center"/>
    </xf>
    <xf numFmtId="2" fontId="0" fillId="0" borderId="11" xfId="0" applyNumberFormat="1" applyBorder="1" applyAlignment="1">
      <alignment horizontal="center"/>
    </xf>
    <xf numFmtId="0" fontId="2" fillId="0" borderId="0" xfId="0" applyFont="1" applyAlignment="1">
      <alignment horizontal="right"/>
    </xf>
    <xf numFmtId="2" fontId="3" fillId="3" borderId="5" xfId="0" applyNumberFormat="1" applyFont="1" applyFill="1" applyBorder="1" applyAlignment="1">
      <alignment horizontal="center"/>
    </xf>
    <xf numFmtId="0" fontId="0" fillId="2" borderId="6" xfId="0" applyFill="1" applyBorder="1"/>
    <xf numFmtId="0" fontId="0" fillId="4" borderId="0" xfId="0" applyFill="1" applyAlignment="1" applyProtection="1">
      <alignment horizontal="center"/>
      <protection locked="0"/>
    </xf>
    <xf numFmtId="0" fontId="0" fillId="2" borderId="6" xfId="0" applyFill="1" applyBorder="1" applyProtection="1">
      <protection locked="0"/>
    </xf>
    <xf numFmtId="0" fontId="3" fillId="2" borderId="0" xfId="0" applyFont="1" applyFill="1" applyAlignment="1" applyProtection="1">
      <alignment horizontal="center"/>
      <protection locked="0"/>
    </xf>
    <xf numFmtId="0" fontId="3" fillId="4" borderId="0" xfId="0" applyFont="1" applyFill="1" applyAlignment="1" applyProtection="1">
      <alignment horizontal="center"/>
      <protection locked="0"/>
    </xf>
    <xf numFmtId="165" fontId="0" fillId="4" borderId="0" xfId="0" applyNumberFormat="1" applyFill="1" applyProtection="1">
      <protection locked="0"/>
    </xf>
    <xf numFmtId="0" fontId="0" fillId="5" borderId="0" xfId="0" applyFill="1" applyAlignment="1" applyProtection="1">
      <alignment horizontal="center" vertical="center"/>
      <protection locked="0"/>
    </xf>
    <xf numFmtId="166" fontId="0" fillId="0" borderId="0" xfId="0" applyNumberFormat="1"/>
    <xf numFmtId="0" fontId="13" fillId="0" borderId="0" xfId="0" applyFont="1" applyAlignment="1">
      <alignment horizontal="center"/>
    </xf>
    <xf numFmtId="0" fontId="14" fillId="0" borderId="0" xfId="0" applyFont="1" applyAlignment="1">
      <alignment horizontal="center"/>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4" fillId="0" borderId="0" xfId="0" applyFont="1" applyAlignment="1">
      <alignment horizontal="left" vertical="top" wrapText="1"/>
    </xf>
    <xf numFmtId="0" fontId="0" fillId="0" borderId="0" xfId="0"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4" borderId="0" xfId="0" applyFill="1" applyAlignment="1">
      <alignment horizontal="center"/>
    </xf>
    <xf numFmtId="0" fontId="0" fillId="6" borderId="0" xfId="0" applyFill="1" applyAlignment="1">
      <alignment horizontal="center"/>
    </xf>
    <xf numFmtId="165" fontId="0" fillId="0" borderId="0" xfId="0" applyNumberFormat="1"/>
    <xf numFmtId="0" fontId="0" fillId="0" borderId="0" xfId="0" applyFill="1"/>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3" xfId="0" applyBorder="1"/>
    <xf numFmtId="0" fontId="0" fillId="0" borderId="4" xfId="0"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1" fillId="0" borderId="0" xfId="0" applyFont="1" applyBorder="1"/>
    <xf numFmtId="0" fontId="1" fillId="0" borderId="0" xfId="0" applyFont="1" applyBorder="1" applyAlignment="1">
      <alignment horizontal="center"/>
    </xf>
    <xf numFmtId="0" fontId="0" fillId="8" borderId="0" xfId="0" applyFill="1" applyAlignment="1">
      <alignment horizontal="center"/>
    </xf>
    <xf numFmtId="0" fontId="0" fillId="8" borderId="0" xfId="0" applyFill="1" applyAlignment="1">
      <alignment horizontal="center"/>
    </xf>
    <xf numFmtId="165" fontId="0" fillId="8" borderId="0" xfId="0" applyNumberFormat="1" applyFill="1"/>
    <xf numFmtId="0" fontId="0" fillId="0" borderId="17" xfId="0" applyBorder="1" applyAlignment="1">
      <alignment horizontal="center"/>
    </xf>
    <xf numFmtId="0" fontId="15" fillId="0" borderId="0" xfId="0" applyFont="1" applyAlignment="1">
      <alignment horizontal="left"/>
    </xf>
    <xf numFmtId="0" fontId="16" fillId="0" borderId="4" xfId="0" applyFont="1" applyBorder="1" applyAlignment="1">
      <alignment horizontal="left"/>
    </xf>
    <xf numFmtId="0" fontId="16" fillId="0" borderId="0" xfId="0" applyFont="1" applyAlignment="1">
      <alignment horizontal="left"/>
    </xf>
  </cellXfs>
  <cellStyles count="2">
    <cellStyle name="Hyperlink" xfId="1" builtinId="8"/>
    <cellStyle name="Normal" xfId="0" builtinId="0"/>
  </cellStyles>
  <dxfs count="24">
    <dxf>
      <fill>
        <patternFill>
          <bgColor theme="7" tint="0.79998168889431442"/>
        </patternFill>
      </fill>
    </dxf>
    <dxf>
      <font>
        <color theme="5"/>
      </font>
      <fill>
        <patternFill patternType="none">
          <bgColor auto="1"/>
        </patternFill>
      </fill>
    </dxf>
    <dxf>
      <font>
        <color theme="9"/>
      </font>
      <fill>
        <patternFill patternType="none">
          <bgColor auto="1"/>
        </patternFill>
      </fill>
    </dxf>
    <dxf>
      <fill>
        <patternFill>
          <bgColor theme="7" tint="0.79998168889431442"/>
        </patternFill>
      </fill>
    </dxf>
    <dxf>
      <font>
        <color theme="1"/>
      </font>
      <fill>
        <patternFill>
          <bgColor rgb="FFFFC000"/>
        </patternFill>
      </fill>
    </dxf>
    <dxf>
      <fill>
        <patternFill>
          <bgColor rgb="FFFF0000"/>
        </patternFill>
      </fill>
    </dxf>
    <dxf>
      <fill>
        <patternFill>
          <bgColor rgb="FFFF0000"/>
        </patternFill>
      </fill>
    </dxf>
    <dxf>
      <fill>
        <patternFill>
          <bgColor theme="9" tint="0.59996337778862885"/>
        </patternFill>
      </fill>
    </dxf>
    <dxf>
      <fill>
        <patternFill>
          <bgColor theme="7"/>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ont>
        <color theme="1"/>
      </font>
      <fill>
        <patternFill>
          <bgColor rgb="FFFFC000"/>
        </patternFill>
      </fill>
    </dxf>
    <dxf>
      <fill>
        <patternFill>
          <bgColor rgb="FFFF0000"/>
        </patternFill>
      </fill>
    </dxf>
    <dxf>
      <font>
        <color auto="1"/>
      </font>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reativecommons.org/licenses/by-nc-sa/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4"/>
  <sheetViews>
    <sheetView showGridLines="0" tabSelected="1" zoomScaleNormal="100" workbookViewId="0">
      <selection activeCell="E7" sqref="E7"/>
    </sheetView>
  </sheetViews>
  <sheetFormatPr defaultRowHeight="15" x14ac:dyDescent="0.25"/>
  <cols>
    <col min="1" max="1" width="2.28515625" customWidth="1"/>
    <col min="2" max="5" width="7.5703125" customWidth="1"/>
    <col min="6" max="16" width="5.85546875" customWidth="1"/>
    <col min="17" max="25" width="6.28515625" customWidth="1"/>
    <col min="26" max="26" width="10.140625" customWidth="1"/>
    <col min="27" max="27" width="13" customWidth="1"/>
    <col min="28" max="28" width="5.7109375" style="12" customWidth="1"/>
    <col min="29" max="29" width="133.28515625" customWidth="1"/>
    <col min="31" max="31" width="11.42578125" customWidth="1"/>
  </cols>
  <sheetData>
    <row r="1" spans="1:29" ht="18.75" x14ac:dyDescent="0.3">
      <c r="A1" s="23" t="s">
        <v>30</v>
      </c>
      <c r="Y1" s="26" t="s">
        <v>211</v>
      </c>
      <c r="AC1" s="2" t="s">
        <v>146</v>
      </c>
    </row>
    <row r="3" spans="1:29" ht="15.75" thickBot="1" x14ac:dyDescent="0.3">
      <c r="B3" s="30" t="s">
        <v>41</v>
      </c>
      <c r="C3" s="31"/>
      <c r="D3" s="31" t="s">
        <v>84</v>
      </c>
      <c r="F3" s="31"/>
      <c r="G3" s="31"/>
      <c r="H3" s="31"/>
      <c r="L3" s="31"/>
      <c r="M3" s="31"/>
      <c r="N3" s="31"/>
      <c r="O3" s="31"/>
      <c r="P3" s="31"/>
      <c r="R3" s="30" t="s">
        <v>100</v>
      </c>
      <c r="S3" s="31"/>
      <c r="T3" s="31"/>
      <c r="U3" s="31"/>
      <c r="V3" s="31"/>
      <c r="W3" s="31"/>
      <c r="X3" s="31"/>
      <c r="Y3" s="31"/>
      <c r="AA3" s="101" t="s">
        <v>46</v>
      </c>
      <c r="AB3" s="102" t="s">
        <v>44</v>
      </c>
      <c r="AC3" s="32" t="s">
        <v>45</v>
      </c>
    </row>
    <row r="4" spans="1:29" ht="15.75" thickBot="1" x14ac:dyDescent="0.3">
      <c r="B4" s="17" t="s">
        <v>20</v>
      </c>
      <c r="E4" s="89" t="s">
        <v>19</v>
      </c>
      <c r="F4" s="89"/>
      <c r="I4" s="83" t="s">
        <v>18</v>
      </c>
      <c r="J4" s="84"/>
      <c r="K4" s="85"/>
      <c r="N4" s="103" t="s">
        <v>105</v>
      </c>
      <c r="O4" s="103"/>
      <c r="P4" s="103"/>
      <c r="R4" t="s">
        <v>10</v>
      </c>
      <c r="AA4" s="93" t="s">
        <v>5</v>
      </c>
      <c r="AC4" t="s">
        <v>189</v>
      </c>
    </row>
    <row r="5" spans="1:29" x14ac:dyDescent="0.25">
      <c r="I5" s="106" t="s">
        <v>196</v>
      </c>
      <c r="J5" s="106"/>
      <c r="K5" s="106"/>
      <c r="N5" s="90" t="s">
        <v>24</v>
      </c>
      <c r="O5" s="90"/>
      <c r="P5" s="90"/>
      <c r="R5" t="s">
        <v>91</v>
      </c>
      <c r="AA5" s="94" t="s">
        <v>5</v>
      </c>
      <c r="AC5" t="s">
        <v>188</v>
      </c>
    </row>
    <row r="6" spans="1:29" x14ac:dyDescent="0.25">
      <c r="B6" s="30" t="s">
        <v>47</v>
      </c>
      <c r="C6" s="31"/>
      <c r="D6" s="31"/>
      <c r="E6" s="31"/>
      <c r="F6" s="31"/>
      <c r="G6" s="31"/>
      <c r="H6" s="31"/>
      <c r="I6" s="31"/>
      <c r="J6" s="31"/>
      <c r="K6" s="31"/>
      <c r="L6" s="31"/>
      <c r="M6" s="31"/>
      <c r="N6" s="31"/>
      <c r="O6" s="31"/>
      <c r="P6" s="31"/>
      <c r="R6" t="s">
        <v>92</v>
      </c>
      <c r="Z6" s="67"/>
      <c r="AA6" s="94" t="s">
        <v>5</v>
      </c>
      <c r="AC6" t="s">
        <v>183</v>
      </c>
    </row>
    <row r="7" spans="1:29" x14ac:dyDescent="0.25">
      <c r="D7" s="2" t="s">
        <v>73</v>
      </c>
      <c r="E7" s="61">
        <v>17</v>
      </c>
      <c r="F7" s="11" t="str">
        <f>CONCATENATE(""" (",ROUND(E7*2.54,1)," cm)")</f>
        <v>" (43.2 cm)</v>
      </c>
      <c r="K7" s="2" t="s">
        <v>57</v>
      </c>
      <c r="L7" s="61">
        <v>1.5</v>
      </c>
      <c r="M7" s="11" t="str">
        <f>CONCATENATE(""" (",ROUND(L7*2.54,1)," cm)")</f>
        <v>" (3.8 cm)</v>
      </c>
      <c r="R7" t="s">
        <v>93</v>
      </c>
      <c r="AA7" s="95" t="s">
        <v>5</v>
      </c>
      <c r="AC7" t="s">
        <v>184</v>
      </c>
    </row>
    <row r="8" spans="1:29" x14ac:dyDescent="0.25">
      <c r="D8" s="2" t="s">
        <v>53</v>
      </c>
      <c r="E8" s="61">
        <v>1</v>
      </c>
      <c r="F8" s="11" t="str">
        <f>CONCATENATE(""" (",ROUND(E8*2.54,1)," cm)")</f>
        <v>" (2.5 cm)</v>
      </c>
      <c r="K8" s="2" t="s">
        <v>195</v>
      </c>
      <c r="L8" s="104">
        <f>L7-E8</f>
        <v>0.5</v>
      </c>
      <c r="M8" s="11" t="str">
        <f>CONCATENATE(""" (",ROUND(L8*2.54,1)," cm)")</f>
        <v>" (1.3 cm)</v>
      </c>
    </row>
    <row r="9" spans="1:29" x14ac:dyDescent="0.25">
      <c r="F9" t="str">
        <f>IF(L8&lt;0,"Inked margin cannot be more than all-round margin","")</f>
        <v/>
      </c>
      <c r="R9" t="s">
        <v>129</v>
      </c>
      <c r="AA9" s="93" t="s">
        <v>8</v>
      </c>
      <c r="AB9" s="12">
        <v>1</v>
      </c>
      <c r="AC9" t="s">
        <v>192</v>
      </c>
    </row>
    <row r="10" spans="1:29" x14ac:dyDescent="0.25">
      <c r="B10" s="30" t="s">
        <v>201</v>
      </c>
      <c r="C10" s="31"/>
      <c r="D10" s="31"/>
      <c r="E10" s="31"/>
      <c r="F10" s="31"/>
      <c r="G10" s="31"/>
      <c r="H10" s="31"/>
      <c r="I10" s="31"/>
      <c r="J10" s="31"/>
      <c r="K10" s="31"/>
      <c r="L10" s="31"/>
      <c r="M10" s="31"/>
      <c r="N10" s="31"/>
      <c r="O10" s="31"/>
      <c r="P10" s="31"/>
      <c r="R10" t="s">
        <v>94</v>
      </c>
      <c r="AA10" s="94" t="s">
        <v>8</v>
      </c>
      <c r="AB10" s="12">
        <v>2</v>
      </c>
      <c r="AC10" s="6" t="s">
        <v>182</v>
      </c>
    </row>
    <row r="11" spans="1:29" x14ac:dyDescent="0.25">
      <c r="D11" s="2" t="s">
        <v>126</v>
      </c>
      <c r="E11" s="62" t="s">
        <v>4</v>
      </c>
      <c r="F11" s="60"/>
      <c r="G11" s="7"/>
      <c r="H11" t="s">
        <v>190</v>
      </c>
      <c r="P11" s="12" t="s">
        <v>77</v>
      </c>
      <c r="AA11" s="94" t="s">
        <v>8</v>
      </c>
      <c r="AC11" t="s">
        <v>134</v>
      </c>
    </row>
    <row r="12" spans="1:29" x14ac:dyDescent="0.25">
      <c r="D12" s="2" t="s">
        <v>127</v>
      </c>
      <c r="E12" s="63">
        <v>5184</v>
      </c>
      <c r="F12" t="s">
        <v>82</v>
      </c>
      <c r="K12" s="2" t="s">
        <v>128</v>
      </c>
      <c r="L12" s="63">
        <v>3888</v>
      </c>
      <c r="M12" t="s">
        <v>82</v>
      </c>
      <c r="P12" s="104">
        <f>ROUND(E12/L12,3)</f>
        <v>1.333</v>
      </c>
      <c r="R12" t="s">
        <v>130</v>
      </c>
      <c r="AA12" s="96" t="s">
        <v>8</v>
      </c>
      <c r="AB12" s="12">
        <v>3</v>
      </c>
      <c r="AC12" s="6" t="s">
        <v>48</v>
      </c>
    </row>
    <row r="13" spans="1:29" x14ac:dyDescent="0.25">
      <c r="R13" t="s">
        <v>97</v>
      </c>
      <c r="AA13" s="94" t="s">
        <v>8</v>
      </c>
      <c r="AB13" s="12">
        <v>4</v>
      </c>
      <c r="AC13" s="6" t="s">
        <v>193</v>
      </c>
    </row>
    <row r="14" spans="1:29" x14ac:dyDescent="0.25">
      <c r="B14" s="30" t="s">
        <v>200</v>
      </c>
      <c r="C14" s="31"/>
      <c r="D14" s="31"/>
      <c r="E14" s="31"/>
      <c r="F14" s="31"/>
      <c r="G14" s="31"/>
      <c r="H14" s="31"/>
      <c r="I14" s="31"/>
      <c r="J14" s="31"/>
      <c r="K14" s="31"/>
      <c r="L14" s="31"/>
      <c r="M14" s="31"/>
      <c r="N14" s="31"/>
      <c r="O14" s="31"/>
      <c r="P14" s="31"/>
      <c r="R14" t="s">
        <v>98</v>
      </c>
      <c r="AA14" s="94" t="s">
        <v>8</v>
      </c>
      <c r="AB14" s="12">
        <v>5</v>
      </c>
      <c r="AC14" s="6" t="s">
        <v>185</v>
      </c>
    </row>
    <row r="15" spans="1:29" x14ac:dyDescent="0.25">
      <c r="D15" s="2" t="s">
        <v>32</v>
      </c>
      <c r="E15" s="63">
        <v>19</v>
      </c>
      <c r="F15" s="11" t="str">
        <f>CONCATENATE(""" (",ROUND(E15*2.54,1)," cm)")</f>
        <v>" (48.3 cm)</v>
      </c>
      <c r="K15" s="2" t="s">
        <v>56</v>
      </c>
      <c r="L15" s="63">
        <v>14</v>
      </c>
      <c r="M15" s="11" t="str">
        <f>CONCATENATE(""" (",ROUND(L15*2.54,1)," cm)")</f>
        <v>" (35.6 cm)</v>
      </c>
      <c r="P15" s="104">
        <f t="shared" ref="P15" si="0">ROUND(E15/L15,2)</f>
        <v>1.36</v>
      </c>
      <c r="AA15" s="94" t="s">
        <v>8</v>
      </c>
      <c r="AC15" s="6" t="s">
        <v>194</v>
      </c>
    </row>
    <row r="16" spans="1:29" x14ac:dyDescent="0.25">
      <c r="D16" s="2" t="s">
        <v>74</v>
      </c>
      <c r="E16" s="104">
        <f>E15+2*E8</f>
        <v>21</v>
      </c>
      <c r="F16" s="11" t="str">
        <f>CONCATENATE(""" (",ROUND(E16*2.54,1)," cm)")</f>
        <v>" (53.3 cm)</v>
      </c>
      <c r="K16" s="2" t="s">
        <v>66</v>
      </c>
      <c r="L16" s="104">
        <f>L15+2*E8</f>
        <v>16</v>
      </c>
      <c r="M16" s="11" t="str">
        <f>CONCATENATE(""" (",ROUND(L16*2.54,1)," cm)")</f>
        <v>" (40.6 cm)</v>
      </c>
      <c r="P16" s="104">
        <f>ROUND(E16/L16,2)</f>
        <v>1.31</v>
      </c>
      <c r="R16" t="s">
        <v>99</v>
      </c>
      <c r="AA16" s="95" t="s">
        <v>8</v>
      </c>
      <c r="AC16" t="s">
        <v>186</v>
      </c>
    </row>
    <row r="17" spans="2:29" x14ac:dyDescent="0.25">
      <c r="D17" s="2" t="s">
        <v>75</v>
      </c>
      <c r="E17" s="104">
        <f>E15+2*L7</f>
        <v>22</v>
      </c>
      <c r="F17" s="11" t="str">
        <f>CONCATENATE(""" (",ROUND(E17*2.54,1)," cm)")</f>
        <v>" (55.9 cm)</v>
      </c>
      <c r="K17" s="2" t="s">
        <v>76</v>
      </c>
      <c r="L17" s="104">
        <f>L15+2*L7</f>
        <v>17</v>
      </c>
      <c r="M17" s="11" t="str">
        <f>CONCATENATE(""" (",ROUND(L17*2.54,1)," cm)")</f>
        <v>" (43.2 cm)</v>
      </c>
      <c r="P17" s="104">
        <f>ROUND(E17/L17,2)</f>
        <v>1.29</v>
      </c>
      <c r="R17" t="s">
        <v>131</v>
      </c>
    </row>
    <row r="18" spans="2:29" x14ac:dyDescent="0.25">
      <c r="E18" s="37">
        <f>IFERROR(MATCH(E15,$F$46:$P$46,0),"Not a standard bar length")</f>
        <v>7</v>
      </c>
      <c r="L18" s="37">
        <f>IFERROR(MATCH(L15,$F$46:$P$46,0),"Not a standard bar length")</f>
        <v>5</v>
      </c>
      <c r="AA18" s="97" t="s">
        <v>5</v>
      </c>
      <c r="AB18" s="12">
        <v>6</v>
      </c>
      <c r="AC18" s="6" t="s">
        <v>187</v>
      </c>
    </row>
    <row r="19" spans="2:29" x14ac:dyDescent="0.25">
      <c r="B19" s="30" t="s">
        <v>199</v>
      </c>
      <c r="C19" s="31"/>
      <c r="D19" s="31"/>
      <c r="E19" s="31"/>
      <c r="F19" s="31"/>
      <c r="G19" s="31"/>
      <c r="H19" s="31"/>
      <c r="I19" s="31"/>
      <c r="J19" s="31"/>
      <c r="K19" s="31"/>
      <c r="L19" s="31"/>
      <c r="M19" s="31"/>
      <c r="N19" s="31"/>
      <c r="O19" s="31"/>
      <c r="P19" s="31"/>
      <c r="R19" t="s">
        <v>148</v>
      </c>
    </row>
    <row r="20" spans="2:29" x14ac:dyDescent="0.25">
      <c r="D20" s="2" t="s">
        <v>54</v>
      </c>
      <c r="E20" s="63">
        <v>0.75</v>
      </c>
      <c r="F20" s="11" t="str">
        <f>IF(E20&lt;=E8,CONCATENATE(""" (",ROUND(E20*2.54,1)," cm)"),CONCATENATE(""" (",ROUND(E20*2.54,1)," cm) -- Cannot be more than the inked margin!"))</f>
        <v>" (1.9 cm)</v>
      </c>
      <c r="R20" t="s">
        <v>132</v>
      </c>
      <c r="AA20" s="98" t="s">
        <v>6</v>
      </c>
      <c r="AB20" s="12">
        <v>7</v>
      </c>
      <c r="AC20" s="8" t="s">
        <v>197</v>
      </c>
    </row>
    <row r="21" spans="2:29" x14ac:dyDescent="0.25">
      <c r="D21" s="2" t="s">
        <v>11</v>
      </c>
      <c r="E21" s="64">
        <v>0</v>
      </c>
      <c r="F21" t="s">
        <v>55</v>
      </c>
      <c r="K21" s="2" t="s">
        <v>80</v>
      </c>
      <c r="L21" s="63">
        <v>0.75</v>
      </c>
      <c r="M21" s="11" t="str">
        <f>CONCATENATE(""" (",ROUND(L21*2.54,1)," cm)")</f>
        <v>" (1.9 cm)</v>
      </c>
      <c r="R21" t="s">
        <v>25</v>
      </c>
      <c r="AA21" s="99" t="s">
        <v>6</v>
      </c>
      <c r="AC21" s="9" t="s">
        <v>198</v>
      </c>
    </row>
    <row r="22" spans="2:29" ht="15" customHeight="1" x14ac:dyDescent="0.25">
      <c r="D22" s="2" t="s">
        <v>78</v>
      </c>
      <c r="E22" s="104">
        <f>E20</f>
        <v>0.75</v>
      </c>
      <c r="F22" s="11" t="str">
        <f>CONCATENATE(""" (",ROUND(E22*2.54,1)," cm)")</f>
        <v>" (1.9 cm)</v>
      </c>
      <c r="K22" s="2" t="s">
        <v>79</v>
      </c>
      <c r="L22" s="104">
        <f>IF(E21=0,E20,L21)</f>
        <v>0.75</v>
      </c>
      <c r="M22" s="11" t="str">
        <f>CONCATENATE(""" (",ROUND(L22*2.54,1)," cm)")</f>
        <v>" (1.9 cm)</v>
      </c>
      <c r="R22" t="s">
        <v>145</v>
      </c>
      <c r="AA22" s="99" t="s">
        <v>6</v>
      </c>
      <c r="AB22" s="12">
        <v>8</v>
      </c>
      <c r="AC22" s="8" t="str">
        <f>CONCATENATE("Draw a rectangle on the page that is the size of the frame (the image in view -- ",E15,""" × ",L15,""").  Snap its centre to the page centre.")</f>
        <v>Draw a rectangle on the page that is the size of the frame (the image in view -- 19" × 14").  Snap its centre to the page centre.</v>
      </c>
    </row>
    <row r="23" spans="2:29" x14ac:dyDescent="0.25">
      <c r="R23" t="s">
        <v>26</v>
      </c>
      <c r="AA23" s="99" t="s">
        <v>6</v>
      </c>
      <c r="AB23" s="12">
        <v>9</v>
      </c>
      <c r="AC23" s="8" t="str">
        <f>CONCATENATE("Snap guidelines onto the rectangle edges, ",IF(E8=0,"no nudge,",CONCATENATE(" and then nudge each out ",E8,""""))," to give the inked image guidelines.")</f>
        <v>Snap guidelines onto the rectangle edges,  and then nudge each out 1" to give the inked image guidelines.</v>
      </c>
    </row>
    <row r="24" spans="2:29" x14ac:dyDescent="0.25">
      <c r="B24" s="30" t="s">
        <v>191</v>
      </c>
      <c r="C24" s="31"/>
      <c r="D24" s="31"/>
      <c r="E24" s="31"/>
      <c r="F24" s="31"/>
      <c r="G24" s="31"/>
      <c r="H24" s="31"/>
      <c r="I24" s="31"/>
      <c r="J24" s="31"/>
      <c r="K24" s="31"/>
      <c r="L24" s="31"/>
      <c r="M24" s="31"/>
      <c r="N24" s="31"/>
      <c r="O24" s="31"/>
      <c r="P24" s="31"/>
      <c r="R24" t="s">
        <v>27</v>
      </c>
      <c r="AA24" s="99" t="s">
        <v>6</v>
      </c>
      <c r="AB24" s="12">
        <v>10</v>
      </c>
      <c r="AC24" s="81" t="str">
        <f>CONCATENATE(IF(E22=0,"No width duplication.",CONCATENATE("Snap further left &amp; right guidelines onto the rectangle",IF(E8-E22=0,", no nudge,",CONCATENATE(" and then nudge each out ",E8-E22))," to give the duplication starting width guidelines.")),IF(L22=0,"  No height duplication.",CONCATENATE("  Snap further top &amp; bottom guidelines onto the rectangle",IF(E8-L22=0,", no nudge,",CONCATENATE(" and then nudge each out ",E8-L22))," to give the duplication starting height guidelines.")))</f>
        <v>Snap further left &amp; right guidelines onto the rectangle and then nudge each out 0.25 to give the duplication starting width guidelines.  Snap further top &amp; bottom guidelines onto the rectangle and then nudge each out 0.25 to give the duplication starting height guidelines.</v>
      </c>
    </row>
    <row r="25" spans="2:29" ht="15.75" thickBot="1" x14ac:dyDescent="0.3">
      <c r="D25" s="2" t="s">
        <v>12</v>
      </c>
      <c r="E25" s="34">
        <f>E15+2*(E8-E22)</f>
        <v>19.5</v>
      </c>
      <c r="F25" s="11" t="str">
        <f>CONCATENATE(""" (",ROUND(E25*2.54,1)," cm)")</f>
        <v>" (49.5 cm)</v>
      </c>
      <c r="K25" s="2" t="s">
        <v>81</v>
      </c>
      <c r="L25" s="104">
        <f>L15+2*(E8-L22)</f>
        <v>14.5</v>
      </c>
      <c r="M25" s="11" t="str">
        <f>CONCATENATE(""" (",ROUND(L25*2.54,1)," cm)")</f>
        <v>" (36.8 cm)</v>
      </c>
      <c r="AA25" s="99" t="s">
        <v>6</v>
      </c>
      <c r="AC25" s="81"/>
    </row>
    <row r="26" spans="2:29" ht="15.75" thickBot="1" x14ac:dyDescent="0.3">
      <c r="D26" s="58" t="s">
        <v>13</v>
      </c>
      <c r="E26" s="59">
        <f>ROUND(E25/L25,3)</f>
        <v>1.345</v>
      </c>
      <c r="K26" s="2" t="s">
        <v>139</v>
      </c>
      <c r="L26" s="65">
        <v>4.0000000000000001E-3</v>
      </c>
      <c r="M26" t="str">
        <f>CONCATENATE("(approx ",ROUND(L26*E12,0)," px, ",ROUND(L26*E15,2),""", ",ROUND(L26*E15*2.54,1)," cm)")</f>
        <v>(approx 21 px, 0.08", 0.2 cm)</v>
      </c>
      <c r="R26" t="s">
        <v>133</v>
      </c>
      <c r="AA26" s="99" t="s">
        <v>6</v>
      </c>
      <c r="AB26" s="12">
        <v>11</v>
      </c>
      <c r="AC26" s="8" t="s">
        <v>14</v>
      </c>
    </row>
    <row r="27" spans="2:29" x14ac:dyDescent="0.25">
      <c r="K27" s="2" t="s">
        <v>138</v>
      </c>
      <c r="L27" s="105">
        <f>ABS(ROUND(P12,2)-ROUND(E26,2))</f>
        <v>2.0000000000000018E-2</v>
      </c>
      <c r="M27" t="str">
        <f>CONCATENATE("(approx ",ROUND(L27*E12,0)," px, ",ROUND(L27*E15,2),""", ",ROUND(L27*E15*2.54,1)," cm)")</f>
        <v>(approx 104 px, 0.38", 1 cm)</v>
      </c>
      <c r="R27" t="s">
        <v>28</v>
      </c>
      <c r="AA27" s="99" t="s">
        <v>6</v>
      </c>
      <c r="AB27" s="12">
        <v>12</v>
      </c>
      <c r="AC27" s="8" t="s">
        <v>141</v>
      </c>
    </row>
    <row r="28" spans="2:29" x14ac:dyDescent="0.25">
      <c r="R28" t="s">
        <v>29</v>
      </c>
      <c r="AA28" s="99" t="s">
        <v>6</v>
      </c>
      <c r="AB28" s="12">
        <v>13</v>
      </c>
      <c r="AC28" s="8" t="str">
        <f>CONCATENATE("Resize the photo (drag from the corners to retain AR), fitting it to the ",IF(E22=0,"inked image width","duplication starting width")," and ",IF(L22=0,"inked image height","duplication starting height")," guidelines.")</f>
        <v>Resize the photo (drag from the corners to retain AR), fitting it to the duplication starting width and duplication starting height guidelines.</v>
      </c>
    </row>
    <row r="29" spans="2:29" x14ac:dyDescent="0.25">
      <c r="D29" s="2" t="s">
        <v>102</v>
      </c>
      <c r="E29" t="str">
        <f>IF(ABS(E12/L12-E26)&lt;L26,CONCATENATE("not required, AR difference of ",L27," within ",L26," tolerance"),CONCATENATE("is advised, AR difference &gt; tolerance.  Change dup. margin in Step ",AB13," or photo AR in"))</f>
        <v>is advised, AR difference &gt; tolerance.  Change dup. margin in Step 4 or photo AR in</v>
      </c>
      <c r="AA29" s="99" t="s">
        <v>6</v>
      </c>
      <c r="AC29" s="107" t="s">
        <v>202</v>
      </c>
    </row>
    <row r="30" spans="2:29" x14ac:dyDescent="0.25">
      <c r="E30" t="str">
        <f>IF(LEFT(E29,2)="IS",CONCATENATE("LR and return to Step ",AB10,".  Otherwise, the ",ROUND(L27*E15,2),""" difference is handled in Steps 13-16."),"")</f>
        <v>LR and return to Step 2.  Otherwise, the 0.38" difference is handled in Steps 13-16.</v>
      </c>
      <c r="R30" t="s">
        <v>151</v>
      </c>
      <c r="AA30" s="99" t="s">
        <v>6</v>
      </c>
      <c r="AB30" s="12">
        <v>14</v>
      </c>
      <c r="AC30" s="8" t="s">
        <v>203</v>
      </c>
    </row>
    <row r="31" spans="2:29" x14ac:dyDescent="0.25">
      <c r="D31" s="2" t="s">
        <v>137</v>
      </c>
      <c r="E31" s="10" t="str">
        <f>IF(E32="Will not fit",E32,IF(E17&gt;E7,CONCATENATE("Rotate the image at Step ",AB37," for printing"),IF(AND(E17=E7,L17&lt;E7),CONCATENATE("Consider rotation at Step ",AB37," for printing"),"OK")))</f>
        <v>Rotate the image at Step 19 for printing</v>
      </c>
      <c r="R31" t="s">
        <v>152</v>
      </c>
      <c r="AA31" s="99" t="s">
        <v>6</v>
      </c>
      <c r="AB31" s="12">
        <v>15</v>
      </c>
      <c r="AC31" s="8" t="str">
        <f>IF(E20&gt;0,"Duplicate the image, then &lt;CTRL&gt; flip the duplicate up, down, left, or right.  This positions the mirrored duplicate on the top, bottom, left, or right image edge.","No image duplication set.")</f>
        <v>Duplicate the image, then &lt;CTRL&gt; flip the duplicate up, down, left, or right.  This positions the mirrored duplicate on the top, bottom, left, or right image edge.</v>
      </c>
    </row>
    <row r="32" spans="2:29" x14ac:dyDescent="0.25">
      <c r="D32" s="2" t="s">
        <v>85</v>
      </c>
      <c r="E32" t="str">
        <f>IF(AND(E17&lt;E7,L17&lt;E7),"OK",IF(OR(E17=E7,AND(E17&gt;E7,L17=E7)),CONCATENATE("Tight fit, see Step ",AB34),IF(OR(E17&lt;=E7,L17&lt;=E7),"OK","Will not fit")))</f>
        <v>Tight fit, see Step 17a</v>
      </c>
      <c r="R32" t="s">
        <v>111</v>
      </c>
      <c r="AA32" s="99" t="s">
        <v>6</v>
      </c>
      <c r="AB32" s="12">
        <v>16</v>
      </c>
      <c r="AC32" s="8" t="str">
        <f>IF(E20&gt;0,"Knife the duplicate along the inked image guideline and delete excess outside the guideline.  Repeat for each edge, including the new material as needed.","No image duplication set.")</f>
        <v>Knife the duplicate along the inked image guideline and delete excess outside the guideline.  Repeat for each edge, including the new material as needed.</v>
      </c>
    </row>
    <row r="33" spans="2:29" x14ac:dyDescent="0.25">
      <c r="R33" t="s">
        <v>95</v>
      </c>
      <c r="AA33" s="99" t="s">
        <v>6</v>
      </c>
      <c r="AB33" s="12">
        <v>17</v>
      </c>
      <c r="AC33" s="8" t="str">
        <f>IF(L8&gt;0,CONCATENATE("Nudge each inked image guideline out by ",L8,""" to give all-round canvas guidelines of ",L7,""" around the image in view area."),"No guide rectangle required.")</f>
        <v>Nudge each inked image guideline out by 0.5" to give all-round canvas guidelines of 1.5" around the image in view area.</v>
      </c>
    </row>
    <row r="34" spans="2:29" x14ac:dyDescent="0.25">
      <c r="AA34" s="99" t="s">
        <v>6</v>
      </c>
      <c r="AB34" s="12" t="s">
        <v>101</v>
      </c>
      <c r="AC34" s="8" t="str">
        <f>IF(LEFT(E32,5)="Tight",CONCATENATE("Note:  The printer may not print to the full width.  ",IF(L8&gt;0,CONCATENATE("Set the canvas guidelines back by 0.125"" to ",L7-0.125,"""."),CONCATENATE("Consider adjusting the inked margin.  No guide rectangle required."))),"No note.")</f>
        <v>Note:  The printer may not print to the full width.  Set the canvas guidelines back by 0.125" to 1.375".</v>
      </c>
    </row>
    <row r="35" spans="2:29" x14ac:dyDescent="0.25">
      <c r="B35" s="30" t="s">
        <v>52</v>
      </c>
      <c r="C35" s="31"/>
      <c r="D35" s="31"/>
      <c r="E35" s="31"/>
      <c r="F35" s="31"/>
      <c r="G35" s="31"/>
      <c r="H35" s="31"/>
      <c r="I35" s="31"/>
      <c r="J35" s="31"/>
      <c r="K35" s="31"/>
      <c r="L35" s="31"/>
      <c r="M35" s="31"/>
      <c r="N35" s="31"/>
      <c r="O35" s="31"/>
      <c r="P35" s="31"/>
      <c r="R35" t="s">
        <v>157</v>
      </c>
      <c r="AA35" s="99" t="s">
        <v>6</v>
      </c>
      <c r="AB35" s="12">
        <v>18</v>
      </c>
      <c r="AC35" s="8" t="str">
        <f>IF(L8&gt;0,"Draw a rectangle snapped to the canvas guidelines.  Format the rectangle as 0.5 mm dots.  It is to be printed as a guide rectangle.","No guide rectangle required.")</f>
        <v>Draw a rectangle snapped to the canvas guidelines.  Format the rectangle as 0.5 mm dots.  It is to be printed as a guide rectangle.</v>
      </c>
    </row>
    <row r="36" spans="2:29" x14ac:dyDescent="0.25">
      <c r="B36" s="29" t="s">
        <v>136</v>
      </c>
      <c r="F36" t="str">
        <f>CONCATENATE("from current ",ROUND(E12/L12,2)," to required image AR ",ROUND(E26,2),",")</f>
        <v>from current 1.33 to required image AR 1.35,</v>
      </c>
      <c r="R36" t="s">
        <v>149</v>
      </c>
      <c r="AA36" s="99" t="s">
        <v>6</v>
      </c>
      <c r="AC36" s="8" t="str">
        <f>IF(L8&gt;0,"The guide rectangle is used, first, to position the image in the Lightroom print dialogue, and then when orinted to position the canvas on the frame during assembly.","No guide rectangle required.")</f>
        <v>The guide rectangle is used, first, to position the image in the Lightroom print dialogue, and then when orinted to position the canvas on the frame during assembly.</v>
      </c>
    </row>
    <row r="37" spans="2:29" x14ac:dyDescent="0.25">
      <c r="B37" s="29" t="s">
        <v>21</v>
      </c>
      <c r="E37" s="14">
        <f>E12</f>
        <v>5184</v>
      </c>
      <c r="F37" t="s">
        <v>3</v>
      </c>
      <c r="H37" s="14" t="s">
        <v>208</v>
      </c>
      <c r="J37" s="13"/>
      <c r="K37" s="13"/>
      <c r="M37" s="10">
        <f>ROUND(E12/E26,0)</f>
        <v>3854</v>
      </c>
      <c r="N37" t="s">
        <v>3</v>
      </c>
      <c r="R37" t="s">
        <v>154</v>
      </c>
      <c r="AA37" s="99" t="s">
        <v>6</v>
      </c>
      <c r="AB37" s="12">
        <v>19</v>
      </c>
      <c r="AC37" s="8" t="str">
        <f>IF(LEFT(E31,2)="OK","No rotation required.",IF(LEFT(E31,6)="Rotate","As required by the orientation check in Step 5, select image and guide rectangle, if any, and rotate by 90°.","As suggested by the orientation check in Step 5, consider selecting all (image and rectangle, if any) and rotating by 90° to avoid the tight fit."))</f>
        <v>As required by the orientation check in Step 5, select image and guide rectangle, if any, and rotate by 90°.</v>
      </c>
    </row>
    <row r="38" spans="2:29" x14ac:dyDescent="0.25">
      <c r="B38" s="6" t="s">
        <v>22</v>
      </c>
      <c r="C38" s="6"/>
      <c r="E38" s="10">
        <f>IFERROR(ROUND(M37/L25,0),"Infeasible")</f>
        <v>266</v>
      </c>
      <c r="M38" s="92" t="str">
        <f>IF(M37&gt;L12,CONCATENATE("(",ROUND(M37-L12,0),"px larger, ",ROUND((M37-L12)/E38,2),""")"),IF(M37&lt;L12,CONCATENATE("(",ROUND(L12-M37,0),"px smaller, ",ROUND((L12-M37)/E38,2),""")"),"(no change)"))</f>
        <v>(34px smaller, 0.13")</v>
      </c>
      <c r="N38" s="92"/>
      <c r="R38" t="s">
        <v>155</v>
      </c>
      <c r="AA38" s="100" t="s">
        <v>6</v>
      </c>
      <c r="AB38" s="12">
        <v>20</v>
      </c>
      <c r="AC38" s="8" t="s">
        <v>142</v>
      </c>
    </row>
    <row r="39" spans="2:29" ht="15" customHeight="1" x14ac:dyDescent="0.25">
      <c r="B39" s="29" t="s">
        <v>42</v>
      </c>
      <c r="R39" t="s">
        <v>103</v>
      </c>
    </row>
    <row r="40" spans="2:29" x14ac:dyDescent="0.25">
      <c r="B40" s="29" t="s">
        <v>176</v>
      </c>
      <c r="C40" s="13"/>
      <c r="E40" s="14">
        <f>L12</f>
        <v>3888</v>
      </c>
      <c r="F40" t="s">
        <v>3</v>
      </c>
      <c r="H40" t="s">
        <v>209</v>
      </c>
      <c r="M40" s="10">
        <f>ROUND(L12*E26,0)</f>
        <v>5229</v>
      </c>
      <c r="N40" t="s">
        <v>3</v>
      </c>
      <c r="AA40" s="93" t="s">
        <v>5</v>
      </c>
      <c r="AB40" s="12">
        <v>21</v>
      </c>
      <c r="AC40" s="6" t="s">
        <v>106</v>
      </c>
    </row>
    <row r="41" spans="2:29" x14ac:dyDescent="0.25">
      <c r="B41" s="6" t="s">
        <v>177</v>
      </c>
      <c r="C41" s="6"/>
      <c r="E41" s="10">
        <f>IFERROR(ROUND(M40/E25,0),"Infeasible")</f>
        <v>268</v>
      </c>
      <c r="M41" s="92" t="str">
        <f>IF(M40&gt;E12,CONCATENATE("(",ROUND(M40-E12,0),"px larger, ",ROUND((M40-E12)/E41,2),""")"),IF(M40&lt;E12,CONCATENATE("(",ROUND(E12-M40,0),"px smaller, ",ROUND((E12-M40)/E41,2),""")"),"(no change)"))</f>
        <v>(45px larger, 0.17")</v>
      </c>
      <c r="N41" s="92"/>
      <c r="R41" t="s">
        <v>158</v>
      </c>
      <c r="AA41" s="94" t="s">
        <v>5</v>
      </c>
      <c r="AB41" s="12">
        <v>22</v>
      </c>
      <c r="AC41" s="6" t="s">
        <v>109</v>
      </c>
    </row>
    <row r="42" spans="2:29" x14ac:dyDescent="0.25">
      <c r="R42" t="s">
        <v>159</v>
      </c>
      <c r="AA42" s="94" t="s">
        <v>5</v>
      </c>
      <c r="AC42" s="6" t="s">
        <v>61</v>
      </c>
    </row>
    <row r="43" spans="2:29" ht="15" customHeight="1" x14ac:dyDescent="0.25">
      <c r="R43" t="s">
        <v>153</v>
      </c>
      <c r="AA43" s="94" t="s">
        <v>5</v>
      </c>
      <c r="AC43" s="6" t="s">
        <v>62</v>
      </c>
    </row>
    <row r="44" spans="2:29" x14ac:dyDescent="0.25">
      <c r="B44" s="21" t="s">
        <v>210</v>
      </c>
      <c r="E44" s="31"/>
      <c r="F44" s="31"/>
      <c r="G44" s="31"/>
      <c r="H44" s="31"/>
      <c r="I44" s="31"/>
      <c r="J44" s="31"/>
      <c r="K44" s="31"/>
      <c r="L44" s="31"/>
      <c r="M44" s="31"/>
      <c r="N44" s="31"/>
      <c r="O44" s="31"/>
      <c r="P44" s="31"/>
      <c r="R44" t="s">
        <v>104</v>
      </c>
      <c r="AA44" s="94" t="s">
        <v>5</v>
      </c>
      <c r="AC44" s="6" t="s">
        <v>107</v>
      </c>
    </row>
    <row r="45" spans="2:29" ht="15" customHeight="1" x14ac:dyDescent="0.25">
      <c r="B45" s="22"/>
      <c r="C45" s="22"/>
      <c r="D45" s="22"/>
      <c r="E45" s="82" t="s">
        <v>34</v>
      </c>
      <c r="F45" s="82"/>
      <c r="G45" s="82"/>
      <c r="H45" s="82"/>
      <c r="I45" s="82"/>
      <c r="J45" s="82"/>
      <c r="K45" s="82"/>
      <c r="L45" s="82"/>
      <c r="M45" s="82"/>
      <c r="N45" s="82"/>
      <c r="O45" s="82"/>
      <c r="P45" s="82"/>
      <c r="R45" t="s">
        <v>156</v>
      </c>
      <c r="AA45" s="94" t="s">
        <v>5</v>
      </c>
      <c r="AC45" s="6" t="str">
        <f>CONCATENATE("                                     (iii)  Set Paper Width to ",E7,""", set Paper Height to ",IF(LEFT(E31,6)="Rotate",E17,L17),""".")</f>
        <v xml:space="preserve">                                     (iii)  Set Paper Width to 17", set Paper Height to 22".</v>
      </c>
    </row>
    <row r="46" spans="2:29" x14ac:dyDescent="0.25">
      <c r="E46" s="24" t="s">
        <v>83</v>
      </c>
      <c r="F46" s="66">
        <v>8</v>
      </c>
      <c r="G46" s="66">
        <v>10</v>
      </c>
      <c r="H46" s="66">
        <v>11</v>
      </c>
      <c r="I46" s="66">
        <v>12</v>
      </c>
      <c r="J46" s="66">
        <v>14</v>
      </c>
      <c r="K46" s="66">
        <v>16</v>
      </c>
      <c r="L46" s="66">
        <v>19</v>
      </c>
      <c r="M46" s="66">
        <v>22</v>
      </c>
      <c r="N46" s="66">
        <v>26</v>
      </c>
      <c r="O46" s="66">
        <v>30</v>
      </c>
      <c r="P46" s="66">
        <v>38</v>
      </c>
      <c r="AA46" s="94" t="s">
        <v>5</v>
      </c>
      <c r="AC46" s="15" t="s">
        <v>63</v>
      </c>
    </row>
    <row r="47" spans="2:29" x14ac:dyDescent="0.25">
      <c r="E47" s="24" t="s">
        <v>0</v>
      </c>
      <c r="F47" s="25">
        <f>2.54*F46</f>
        <v>20.32</v>
      </c>
      <c r="G47" s="25">
        <f t="shared" ref="G47:P47" si="1">2.54*G46</f>
        <v>25.4</v>
      </c>
      <c r="H47" s="25">
        <f t="shared" si="1"/>
        <v>27.94</v>
      </c>
      <c r="I47" s="25">
        <f t="shared" si="1"/>
        <v>30.48</v>
      </c>
      <c r="J47" s="25">
        <f t="shared" si="1"/>
        <v>35.56</v>
      </c>
      <c r="K47" s="25">
        <f t="shared" si="1"/>
        <v>40.64</v>
      </c>
      <c r="L47" s="25">
        <f t="shared" si="1"/>
        <v>48.26</v>
      </c>
      <c r="M47" s="25">
        <f t="shared" si="1"/>
        <v>55.88</v>
      </c>
      <c r="N47" s="25">
        <f t="shared" si="1"/>
        <v>66.040000000000006</v>
      </c>
      <c r="O47" s="25">
        <f t="shared" si="1"/>
        <v>76.2</v>
      </c>
      <c r="P47" s="25">
        <f t="shared" si="1"/>
        <v>96.52</v>
      </c>
      <c r="R47" t="s">
        <v>160</v>
      </c>
      <c r="AA47" s="94" t="s">
        <v>5</v>
      </c>
      <c r="AB47" s="12">
        <v>23</v>
      </c>
      <c r="AC47" s="6" t="str">
        <f>CONCATENATE("In the print window, drag the margins in the print view screen to ensure required size, observing display of size &amp; ppi.  Size should be ",IF(LEFT(E31,6)="Rotate",L17,E17),""" × ",IF(LEFT(E31,6)="Rotate",E17,L17),""".")</f>
        <v>In the print window, drag the margins in the print view screen to ensure required size, observing display of size &amp; ppi.  Size should be 17" × 22".</v>
      </c>
    </row>
    <row r="48" spans="2:29" x14ac:dyDescent="0.25">
      <c r="R48" t="s">
        <v>161</v>
      </c>
      <c r="AA48" s="94" t="s">
        <v>5</v>
      </c>
      <c r="AC48" s="6" t="str">
        <f>CONCATENATE("Check page width is/remains ",E7,""".  Check at least ppi &gt; 75 for canvas, &gt; 150 for paper.  The ppi should correspond to the spreadsheet dpi estimate.")</f>
        <v>Check page width is/remains 17".  Check at least ppi &gt; 75 for canvas, &gt; 150 for paper.  The ppi should correspond to the spreadsheet dpi estimate.</v>
      </c>
    </row>
    <row r="49" spans="2:29" x14ac:dyDescent="0.25">
      <c r="F49" s="82" t="s">
        <v>32</v>
      </c>
      <c r="G49" s="82"/>
      <c r="H49" s="82"/>
      <c r="I49" s="82"/>
      <c r="J49" s="82"/>
      <c r="K49" s="82"/>
      <c r="L49" s="82"/>
      <c r="M49" s="82"/>
      <c r="N49" s="82"/>
      <c r="O49" s="82"/>
      <c r="P49" s="82"/>
      <c r="R49" t="s">
        <v>96</v>
      </c>
      <c r="AA49" s="94" t="s">
        <v>5</v>
      </c>
      <c r="AB49" s="12">
        <v>24</v>
      </c>
      <c r="AC49" s="6" t="s">
        <v>60</v>
      </c>
    </row>
    <row r="50" spans="2:29" x14ac:dyDescent="0.25">
      <c r="B50" s="28" t="s">
        <v>40</v>
      </c>
      <c r="C50" s="28"/>
      <c r="F50" s="12">
        <f t="shared" ref="F50:P50" si="2">F46</f>
        <v>8</v>
      </c>
      <c r="G50" s="12">
        <f t="shared" si="2"/>
        <v>10</v>
      </c>
      <c r="H50" s="12">
        <f t="shared" si="2"/>
        <v>11</v>
      </c>
      <c r="I50" s="12">
        <f t="shared" si="2"/>
        <v>12</v>
      </c>
      <c r="J50" s="12">
        <f t="shared" si="2"/>
        <v>14</v>
      </c>
      <c r="K50" s="12">
        <f t="shared" si="2"/>
        <v>16</v>
      </c>
      <c r="L50" s="12">
        <f t="shared" si="2"/>
        <v>19</v>
      </c>
      <c r="M50" s="12">
        <f t="shared" si="2"/>
        <v>22</v>
      </c>
      <c r="N50" s="12">
        <f t="shared" si="2"/>
        <v>26</v>
      </c>
      <c r="O50" s="12">
        <f t="shared" si="2"/>
        <v>30</v>
      </c>
      <c r="P50" s="12">
        <f t="shared" si="2"/>
        <v>38</v>
      </c>
      <c r="R50" t="s">
        <v>150</v>
      </c>
      <c r="AA50" s="94" t="s">
        <v>5</v>
      </c>
      <c r="AC50" s="6" t="s">
        <v>143</v>
      </c>
    </row>
    <row r="51" spans="2:29" x14ac:dyDescent="0.25">
      <c r="F51" s="86" t="str">
        <f>CONCATENATE("Canvas / sheet width (",L7,""" margin all round)")</f>
        <v>Canvas / sheet width (1.5" margin all round)</v>
      </c>
      <c r="G51" s="87"/>
      <c r="H51" s="87"/>
      <c r="I51" s="87"/>
      <c r="J51" s="87"/>
      <c r="K51" s="87"/>
      <c r="L51" s="87"/>
      <c r="M51" s="87"/>
      <c r="N51" s="87"/>
      <c r="O51" s="87"/>
      <c r="P51" s="88"/>
      <c r="R51" t="s">
        <v>162</v>
      </c>
      <c r="AA51" s="94" t="s">
        <v>5</v>
      </c>
      <c r="AC51" s="6" t="s">
        <v>108</v>
      </c>
    </row>
    <row r="52" spans="2:29" x14ac:dyDescent="0.25">
      <c r="F52" s="46">
        <f>F$50+2*$L$7</f>
        <v>11</v>
      </c>
      <c r="G52" s="47">
        <f>G$50+2*$L$7</f>
        <v>13</v>
      </c>
      <c r="H52" s="47">
        <f>H$50+2*$L$7</f>
        <v>14</v>
      </c>
      <c r="I52" s="47">
        <f>I$50+2*$L$7</f>
        <v>15</v>
      </c>
      <c r="J52" s="47">
        <f>J$50+2*$L$7</f>
        <v>17</v>
      </c>
      <c r="K52" s="47">
        <f>K$50+2*$L$7</f>
        <v>19</v>
      </c>
      <c r="L52" s="47">
        <f>L$50+2*$L$7</f>
        <v>22</v>
      </c>
      <c r="M52" s="47">
        <f>M$50+2*$L$7</f>
        <v>25</v>
      </c>
      <c r="N52" s="47">
        <f>N$50+2*$L$7</f>
        <v>29</v>
      </c>
      <c r="O52" s="47">
        <f>O$50+2*$L$7</f>
        <v>33</v>
      </c>
      <c r="P52" s="48">
        <f>P$50+2*$L$7</f>
        <v>41</v>
      </c>
      <c r="R52" t="s">
        <v>147</v>
      </c>
      <c r="AA52" s="94" t="s">
        <v>5</v>
      </c>
      <c r="AC52" s="6" t="s">
        <v>204</v>
      </c>
    </row>
    <row r="53" spans="2:29" x14ac:dyDescent="0.25">
      <c r="F53" s="82" t="str">
        <f>CONCATENATE("Inked width (",E8,""" inked margin all round)")</f>
        <v>Inked width (1" inked margin all round)</v>
      </c>
      <c r="G53" s="82"/>
      <c r="H53" s="82"/>
      <c r="I53" s="82"/>
      <c r="J53" s="82"/>
      <c r="K53" s="82"/>
      <c r="L53" s="82"/>
      <c r="M53" s="82"/>
      <c r="N53" s="82"/>
      <c r="O53" s="82"/>
      <c r="P53" s="82"/>
      <c r="AA53" s="94" t="s">
        <v>5</v>
      </c>
      <c r="AB53" s="12">
        <v>25</v>
      </c>
      <c r="AC53" s="6" t="s">
        <v>110</v>
      </c>
    </row>
    <row r="54" spans="2:29" x14ac:dyDescent="0.25">
      <c r="B54" s="45"/>
      <c r="C54" s="45"/>
      <c r="D54" s="45"/>
      <c r="E54" s="44"/>
      <c r="F54" s="12">
        <f>F$50+2*$E$8</f>
        <v>10</v>
      </c>
      <c r="G54" s="12">
        <f>G$50+2*$E$8</f>
        <v>12</v>
      </c>
      <c r="H54" s="12">
        <f>H$50+2*$E$8</f>
        <v>13</v>
      </c>
      <c r="I54" s="12">
        <f>I$50+2*$E$8</f>
        <v>14</v>
      </c>
      <c r="J54" s="12">
        <f>J$50+2*$E$8</f>
        <v>16</v>
      </c>
      <c r="K54" s="12">
        <f>K$50+2*$E$8</f>
        <v>18</v>
      </c>
      <c r="L54" s="12">
        <f>L$50+2*$E$8</f>
        <v>21</v>
      </c>
      <c r="M54" s="12">
        <f>M$50+2*$E$8</f>
        <v>24</v>
      </c>
      <c r="N54" s="12">
        <f>N$50+2*$E$8</f>
        <v>28</v>
      </c>
      <c r="O54" s="12">
        <f>O$50+2*$E$8</f>
        <v>32</v>
      </c>
      <c r="P54" s="12">
        <f>P$50+2*$E$8</f>
        <v>40</v>
      </c>
      <c r="R54" t="s">
        <v>163</v>
      </c>
      <c r="AA54" s="95" t="s">
        <v>5</v>
      </c>
      <c r="AB54" s="12">
        <v>26</v>
      </c>
      <c r="AC54" s="6" t="s">
        <v>140</v>
      </c>
    </row>
    <row r="55" spans="2:29" x14ac:dyDescent="0.25">
      <c r="B55" s="70" t="s">
        <v>33</v>
      </c>
      <c r="C55" s="71" t="s">
        <v>72</v>
      </c>
      <c r="D55" s="70" t="s">
        <v>66</v>
      </c>
      <c r="E55" s="73" t="s">
        <v>64</v>
      </c>
      <c r="F55" s="75" t="s">
        <v>12</v>
      </c>
      <c r="G55" s="76"/>
      <c r="H55" s="76"/>
      <c r="I55" s="76"/>
      <c r="J55" s="76"/>
      <c r="K55" s="76"/>
      <c r="L55" s="76"/>
      <c r="M55" s="76"/>
      <c r="N55" s="76"/>
      <c r="O55" s="76"/>
      <c r="P55" s="77"/>
      <c r="R55" t="s">
        <v>164</v>
      </c>
      <c r="Z55" s="2"/>
    </row>
    <row r="56" spans="2:29" x14ac:dyDescent="0.25">
      <c r="B56" s="70"/>
      <c r="C56" s="72"/>
      <c r="D56" s="70"/>
      <c r="E56" s="74"/>
      <c r="F56" s="78" t="str">
        <f>CONCATENATE("(",E22,""" width duplication to be added to give inked width)")</f>
        <v>(0.75" width duplication to be added to give inked width)</v>
      </c>
      <c r="G56" s="79"/>
      <c r="H56" s="79"/>
      <c r="I56" s="79"/>
      <c r="J56" s="79"/>
      <c r="K56" s="79"/>
      <c r="L56" s="79"/>
      <c r="M56" s="79"/>
      <c r="N56" s="79"/>
      <c r="O56" s="79"/>
      <c r="P56" s="80"/>
      <c r="R56" t="s">
        <v>165</v>
      </c>
      <c r="AA56" s="108" t="s">
        <v>7</v>
      </c>
      <c r="AB56" s="12">
        <v>27</v>
      </c>
      <c r="AC56" s="109" t="s">
        <v>135</v>
      </c>
    </row>
    <row r="57" spans="2:29" x14ac:dyDescent="0.25">
      <c r="B57" s="70"/>
      <c r="C57" s="72"/>
      <c r="D57" s="70"/>
      <c r="E57" s="74"/>
      <c r="F57" s="38">
        <f t="shared" ref="F57:P57" si="3">F50+2*($E$8-$E$22)</f>
        <v>8.5</v>
      </c>
      <c r="G57" s="35">
        <f t="shared" si="3"/>
        <v>10.5</v>
      </c>
      <c r="H57" s="35">
        <f t="shared" si="3"/>
        <v>11.5</v>
      </c>
      <c r="I57" s="35">
        <f t="shared" si="3"/>
        <v>12.5</v>
      </c>
      <c r="J57" s="35">
        <f t="shared" si="3"/>
        <v>14.5</v>
      </c>
      <c r="K57" s="35">
        <f t="shared" si="3"/>
        <v>16.5</v>
      </c>
      <c r="L57" s="35">
        <f t="shared" si="3"/>
        <v>19.5</v>
      </c>
      <c r="M57" s="35">
        <f t="shared" si="3"/>
        <v>22.5</v>
      </c>
      <c r="N57" s="35">
        <f t="shared" si="3"/>
        <v>26.5</v>
      </c>
      <c r="O57" s="35">
        <f t="shared" si="3"/>
        <v>30.5</v>
      </c>
      <c r="P57" s="39">
        <f t="shared" si="3"/>
        <v>38.5</v>
      </c>
    </row>
    <row r="58" spans="2:29" x14ac:dyDescent="0.25">
      <c r="B58" s="12">
        <f>F46</f>
        <v>8</v>
      </c>
      <c r="C58" s="42">
        <f>$B58+2*$L$7</f>
        <v>11</v>
      </c>
      <c r="D58" s="12">
        <f>$B58+2*$E$8</f>
        <v>10</v>
      </c>
      <c r="E58" s="40">
        <f>$B58+2*($E$8-$L$22)</f>
        <v>8.5</v>
      </c>
      <c r="F58" s="49">
        <f>F$57/$E58</f>
        <v>1</v>
      </c>
      <c r="G58" s="50">
        <f>G$57/$E58</f>
        <v>1.2352941176470589</v>
      </c>
      <c r="H58" s="50">
        <f>H$57/$E58</f>
        <v>1.3529411764705883</v>
      </c>
      <c r="I58" s="50">
        <f>I$57/$E58</f>
        <v>1.4705882352941178</v>
      </c>
      <c r="J58" s="50">
        <f>J$57/$E58</f>
        <v>1.7058823529411764</v>
      </c>
      <c r="K58" s="50">
        <f>K$57/$E58</f>
        <v>1.9411764705882353</v>
      </c>
      <c r="L58" s="50">
        <f>L$57/$E58</f>
        <v>2.2941176470588234</v>
      </c>
      <c r="M58" s="50">
        <f>M$57/$E58</f>
        <v>2.6470588235294117</v>
      </c>
      <c r="N58" s="50">
        <f>N$57/$E58</f>
        <v>3.1176470588235294</v>
      </c>
      <c r="O58" s="50">
        <f>O$57/$E58</f>
        <v>3.5882352941176472</v>
      </c>
      <c r="P58" s="51">
        <f>P$57/$E58</f>
        <v>4.5294117647058822</v>
      </c>
      <c r="AB58" s="33"/>
      <c r="AC58" s="32" t="s">
        <v>9</v>
      </c>
    </row>
    <row r="59" spans="2:29" x14ac:dyDescent="0.25">
      <c r="B59" s="12">
        <f>G46</f>
        <v>10</v>
      </c>
      <c r="C59" s="42">
        <f>$B59+2*$L$7</f>
        <v>13</v>
      </c>
      <c r="D59" s="12">
        <f>$B59+2*$E$8</f>
        <v>12</v>
      </c>
      <c r="E59" s="40">
        <f>$B59+2*($E$8-$L$22)</f>
        <v>10.5</v>
      </c>
      <c r="F59" s="52">
        <f>F$57/$E59</f>
        <v>0.80952380952380953</v>
      </c>
      <c r="G59" s="53">
        <f>G$57/$E59</f>
        <v>1</v>
      </c>
      <c r="H59" s="53">
        <f>H$57/$E59</f>
        <v>1.0952380952380953</v>
      </c>
      <c r="I59" s="53">
        <f>I$57/$E59</f>
        <v>1.1904761904761905</v>
      </c>
      <c r="J59" s="53">
        <f>J$57/$E59</f>
        <v>1.3809523809523809</v>
      </c>
      <c r="K59" s="53">
        <f>K$57/$E59</f>
        <v>1.5714285714285714</v>
      </c>
      <c r="L59" s="53">
        <f>L$57/$E59</f>
        <v>1.8571428571428572</v>
      </c>
      <c r="M59" s="53">
        <f>M$57/$E59</f>
        <v>2.1428571428571428</v>
      </c>
      <c r="N59" s="53">
        <f>N$57/$E59</f>
        <v>2.5238095238095237</v>
      </c>
      <c r="O59" s="53">
        <f>O$57/$E59</f>
        <v>2.9047619047619047</v>
      </c>
      <c r="P59" s="54">
        <f>P$57/$E59</f>
        <v>3.6666666666666665</v>
      </c>
      <c r="R59" s="30" t="s">
        <v>67</v>
      </c>
      <c r="S59" s="31"/>
      <c r="T59" s="31"/>
      <c r="U59" s="31"/>
      <c r="V59" s="31"/>
      <c r="W59" s="31"/>
      <c r="X59" s="31"/>
      <c r="Y59" s="31"/>
      <c r="AB59" s="12" t="s">
        <v>49</v>
      </c>
      <c r="AC59" s="6" t="s">
        <v>112</v>
      </c>
    </row>
    <row r="60" spans="2:29" x14ac:dyDescent="0.25">
      <c r="B60" s="12">
        <f>H46</f>
        <v>11</v>
      </c>
      <c r="C60" s="42">
        <f>$B60+2*$L$7</f>
        <v>14</v>
      </c>
      <c r="D60" s="12">
        <f>$B60+2*$E$8</f>
        <v>13</v>
      </c>
      <c r="E60" s="40">
        <f>$B60+2*($E$8-$L$22)</f>
        <v>11.5</v>
      </c>
      <c r="F60" s="52">
        <f>F$57/$E60</f>
        <v>0.73913043478260865</v>
      </c>
      <c r="G60" s="53">
        <f>G$57/$E60</f>
        <v>0.91304347826086951</v>
      </c>
      <c r="H60" s="53">
        <f>H$57/$E60</f>
        <v>1</v>
      </c>
      <c r="I60" s="53">
        <f>I$57/$E60</f>
        <v>1.0869565217391304</v>
      </c>
      <c r="J60" s="53">
        <f>J$57/$E60</f>
        <v>1.2608695652173914</v>
      </c>
      <c r="K60" s="53">
        <f>K$57/$E60</f>
        <v>1.4347826086956521</v>
      </c>
      <c r="L60" s="53">
        <f>L$57/$E60</f>
        <v>1.6956521739130435</v>
      </c>
      <c r="M60" s="53">
        <f>M$57/$E60</f>
        <v>1.9565217391304348</v>
      </c>
      <c r="N60" s="53">
        <f>N$57/$E60</f>
        <v>2.3043478260869565</v>
      </c>
      <c r="O60" s="53">
        <f>O$57/$E60</f>
        <v>2.652173913043478</v>
      </c>
      <c r="P60" s="54">
        <f>P$57/$E60</f>
        <v>3.347826086956522</v>
      </c>
      <c r="AC60" s="6" t="s">
        <v>178</v>
      </c>
    </row>
    <row r="61" spans="2:29" x14ac:dyDescent="0.25">
      <c r="B61" s="12">
        <f>I46</f>
        <v>12</v>
      </c>
      <c r="C61" s="42">
        <f>$B61+2*$L$7</f>
        <v>15</v>
      </c>
      <c r="D61" s="12">
        <f>$B61+2*$E$8</f>
        <v>14</v>
      </c>
      <c r="E61" s="40">
        <f>$B61+2*($E$8-$L$22)</f>
        <v>12.5</v>
      </c>
      <c r="F61" s="52">
        <f>F$57/$E61</f>
        <v>0.68</v>
      </c>
      <c r="G61" s="53">
        <f>G$57/$E61</f>
        <v>0.84</v>
      </c>
      <c r="H61" s="53">
        <f>H$57/$E61</f>
        <v>0.92</v>
      </c>
      <c r="I61" s="53">
        <f>I$57/$E61</f>
        <v>1</v>
      </c>
      <c r="J61" s="53">
        <f>J$57/$E61</f>
        <v>1.1599999999999999</v>
      </c>
      <c r="K61" s="53">
        <f>K$57/$E61</f>
        <v>1.32</v>
      </c>
      <c r="L61" s="53">
        <f>L$57/$E61</f>
        <v>1.56</v>
      </c>
      <c r="M61" s="53">
        <f>M$57/$E61</f>
        <v>1.8</v>
      </c>
      <c r="N61" s="53">
        <f>N$57/$E61</f>
        <v>2.12</v>
      </c>
      <c r="O61" s="53">
        <f>O$57/$E61</f>
        <v>2.44</v>
      </c>
      <c r="P61" s="54">
        <f>P$57/$E61</f>
        <v>3.08</v>
      </c>
      <c r="R61" t="s">
        <v>2</v>
      </c>
      <c r="S61" s="2"/>
      <c r="U61" s="2"/>
      <c r="V61" s="2"/>
      <c r="W61" s="2" t="s">
        <v>89</v>
      </c>
      <c r="X61" s="2"/>
      <c r="Y61" s="2"/>
      <c r="Z61" s="3"/>
      <c r="AC61" t="s">
        <v>205</v>
      </c>
    </row>
    <row r="62" spans="2:29" x14ac:dyDescent="0.25">
      <c r="B62" s="12">
        <f>J46</f>
        <v>14</v>
      </c>
      <c r="C62" s="42">
        <f>$B62+2*$L$7</f>
        <v>17</v>
      </c>
      <c r="D62" s="12">
        <f>$B62+2*$E$8</f>
        <v>16</v>
      </c>
      <c r="E62" s="40">
        <f>$B62+2*($E$8-$L$22)</f>
        <v>14.5</v>
      </c>
      <c r="F62" s="52">
        <f>F$57/$E62</f>
        <v>0.58620689655172409</v>
      </c>
      <c r="G62" s="53">
        <f>G$57/$E62</f>
        <v>0.72413793103448276</v>
      </c>
      <c r="H62" s="53">
        <f>H$57/$E62</f>
        <v>0.7931034482758621</v>
      </c>
      <c r="I62" s="53">
        <f>I$57/$E62</f>
        <v>0.86206896551724133</v>
      </c>
      <c r="J62" s="53">
        <f>J$57/$E62</f>
        <v>1</v>
      </c>
      <c r="K62" s="53">
        <f>K$57/$E62</f>
        <v>1.1379310344827587</v>
      </c>
      <c r="L62" s="53">
        <f>L$57/$E62</f>
        <v>1.3448275862068966</v>
      </c>
      <c r="M62" s="53">
        <f>M$57/$E62</f>
        <v>1.5517241379310345</v>
      </c>
      <c r="N62" s="53">
        <f>N$57/$E62</f>
        <v>1.8275862068965518</v>
      </c>
      <c r="O62" s="53">
        <f>O$57/$E62</f>
        <v>2.103448275862069</v>
      </c>
      <c r="P62" s="54">
        <f>P$57/$E62</f>
        <v>2.6551724137931036</v>
      </c>
      <c r="S62" s="2" t="s">
        <v>113</v>
      </c>
      <c r="T62" t="s">
        <v>114</v>
      </c>
      <c r="U62" s="2" t="s">
        <v>115</v>
      </c>
      <c r="V62" s="2" t="s">
        <v>116</v>
      </c>
      <c r="W62" s="2" t="s">
        <v>1</v>
      </c>
      <c r="X62" s="2" t="s">
        <v>117</v>
      </c>
      <c r="Y62" s="2" t="s">
        <v>118</v>
      </c>
      <c r="AC62" t="s">
        <v>206</v>
      </c>
    </row>
    <row r="63" spans="2:29" x14ac:dyDescent="0.25">
      <c r="B63" s="12">
        <f>K46</f>
        <v>16</v>
      </c>
      <c r="C63" s="42">
        <f>$B63+2*$L$7</f>
        <v>19</v>
      </c>
      <c r="D63" s="12">
        <f>$B63+2*$E$8</f>
        <v>18</v>
      </c>
      <c r="E63" s="40">
        <f>$B63+2*($E$8-$L$22)</f>
        <v>16.5</v>
      </c>
      <c r="F63" s="52">
        <f>F$57/$E63</f>
        <v>0.51515151515151514</v>
      </c>
      <c r="G63" s="53">
        <f>G$57/$E63</f>
        <v>0.63636363636363635</v>
      </c>
      <c r="H63" s="53">
        <f>H$57/$E63</f>
        <v>0.69696969696969702</v>
      </c>
      <c r="I63" s="53">
        <f>I$57/$E63</f>
        <v>0.75757575757575757</v>
      </c>
      <c r="J63" s="53">
        <f>J$57/$E63</f>
        <v>0.87878787878787878</v>
      </c>
      <c r="K63" s="53">
        <f>K$57/$E63</f>
        <v>1</v>
      </c>
      <c r="L63" s="53">
        <f>L$57/$E63</f>
        <v>1.1818181818181819</v>
      </c>
      <c r="M63" s="53">
        <f>M$57/$E63</f>
        <v>1.3636363636363635</v>
      </c>
      <c r="N63" s="53">
        <f>N$57/$E63</f>
        <v>1.606060606060606</v>
      </c>
      <c r="O63" s="53">
        <f>O$57/$E63</f>
        <v>1.8484848484848484</v>
      </c>
      <c r="P63" s="54">
        <f>P$57/$E63</f>
        <v>2.3333333333333335</v>
      </c>
      <c r="S63" s="1" t="s">
        <v>119</v>
      </c>
      <c r="T63" s="1" t="s">
        <v>120</v>
      </c>
      <c r="U63" s="1" t="s">
        <v>121</v>
      </c>
      <c r="V63" s="1" t="s">
        <v>122</v>
      </c>
      <c r="W63" s="1" t="s">
        <v>88</v>
      </c>
      <c r="X63" s="1" t="s">
        <v>123</v>
      </c>
      <c r="Y63" s="1" t="s">
        <v>124</v>
      </c>
      <c r="AB63" s="12" t="s">
        <v>50</v>
      </c>
      <c r="AC63" s="6" t="s">
        <v>144</v>
      </c>
    </row>
    <row r="64" spans="2:29" x14ac:dyDescent="0.25">
      <c r="B64" s="12">
        <f>L46</f>
        <v>19</v>
      </c>
      <c r="C64" s="42">
        <f>$B64+2*$L$7</f>
        <v>22</v>
      </c>
      <c r="D64" s="12">
        <f>$B64+2*$E$8</f>
        <v>21</v>
      </c>
      <c r="E64" s="40">
        <f>$B64+2*($E$8-$L$22)</f>
        <v>19.5</v>
      </c>
      <c r="F64" s="52">
        <f>F$57/$E64</f>
        <v>0.4358974358974359</v>
      </c>
      <c r="G64" s="53">
        <f>G$57/$E64</f>
        <v>0.53846153846153844</v>
      </c>
      <c r="H64" s="53">
        <f>H$57/$E64</f>
        <v>0.58974358974358976</v>
      </c>
      <c r="I64" s="53">
        <f>I$57/$E64</f>
        <v>0.64102564102564108</v>
      </c>
      <c r="J64" s="53">
        <f>J$57/$E64</f>
        <v>0.74358974358974361</v>
      </c>
      <c r="K64" s="53">
        <f>K$57/$E64</f>
        <v>0.84615384615384615</v>
      </c>
      <c r="L64" s="53">
        <f>L$57/$E64</f>
        <v>1</v>
      </c>
      <c r="M64" s="53">
        <f>M$57/$E64</f>
        <v>1.1538461538461537</v>
      </c>
      <c r="N64" s="53">
        <f>N$57/$E64</f>
        <v>1.358974358974359</v>
      </c>
      <c r="O64" s="53">
        <f>O$57/$E64</f>
        <v>1.5641025641025641</v>
      </c>
      <c r="P64" s="54">
        <f>P$57/$E64</f>
        <v>1.9743589743589745</v>
      </c>
      <c r="R64" t="s">
        <v>87</v>
      </c>
      <c r="S64" s="19">
        <v>5</v>
      </c>
      <c r="T64" s="19">
        <v>11</v>
      </c>
      <c r="U64" s="19">
        <v>4</v>
      </c>
      <c r="V64" s="19">
        <v>7</v>
      </c>
      <c r="W64" s="20">
        <f>SQRT(2)</f>
        <v>1.4142135623730951</v>
      </c>
      <c r="X64" s="19">
        <v>3</v>
      </c>
      <c r="Y64" s="19">
        <v>8</v>
      </c>
      <c r="AC64" s="6" t="s">
        <v>58</v>
      </c>
    </row>
    <row r="65" spans="2:29" x14ac:dyDescent="0.25">
      <c r="B65" s="12">
        <f>M46</f>
        <v>22</v>
      </c>
      <c r="C65" s="42">
        <f>$B65+2*$L$7</f>
        <v>25</v>
      </c>
      <c r="D65" s="12">
        <f>$B65+2*$E$8</f>
        <v>24</v>
      </c>
      <c r="E65" s="40">
        <f>$B65+2*($E$8-$L$22)</f>
        <v>22.5</v>
      </c>
      <c r="F65" s="52">
        <f>F$57/$E65</f>
        <v>0.37777777777777777</v>
      </c>
      <c r="G65" s="53">
        <f>G$57/$E65</f>
        <v>0.46666666666666667</v>
      </c>
      <c r="H65" s="53">
        <f>H$57/$E65</f>
        <v>0.51111111111111107</v>
      </c>
      <c r="I65" s="53">
        <f>I$57/$E65</f>
        <v>0.55555555555555558</v>
      </c>
      <c r="J65" s="53">
        <f>J$57/$E65</f>
        <v>0.64444444444444449</v>
      </c>
      <c r="K65" s="53">
        <f>K$57/$E65</f>
        <v>0.73333333333333328</v>
      </c>
      <c r="L65" s="53">
        <f>L$57/$E65</f>
        <v>0.8666666666666667</v>
      </c>
      <c r="M65" s="53">
        <f>M$57/$E65</f>
        <v>1</v>
      </c>
      <c r="N65" s="53">
        <f>N$57/$E65</f>
        <v>1.1777777777777778</v>
      </c>
      <c r="O65" s="53">
        <f>O$57/$E65</f>
        <v>1.3555555555555556</v>
      </c>
      <c r="P65" s="54">
        <f>P$57/$E65</f>
        <v>1.711111111111111</v>
      </c>
      <c r="R65" t="s">
        <v>86</v>
      </c>
      <c r="S65" s="19">
        <v>4</v>
      </c>
      <c r="T65" s="19">
        <v>8.5</v>
      </c>
      <c r="U65" s="19">
        <v>3</v>
      </c>
      <c r="V65" s="19">
        <v>5</v>
      </c>
      <c r="W65" s="19">
        <v>1</v>
      </c>
      <c r="X65" s="19">
        <v>2</v>
      </c>
      <c r="Y65" s="19">
        <v>5</v>
      </c>
      <c r="AC65" s="6" t="s">
        <v>179</v>
      </c>
    </row>
    <row r="66" spans="2:29" x14ac:dyDescent="0.25">
      <c r="B66" s="12">
        <f>N46</f>
        <v>26</v>
      </c>
      <c r="C66" s="42">
        <f>$B66+2*$L$7</f>
        <v>29</v>
      </c>
      <c r="D66" s="12">
        <f>$B66+2*$E$8</f>
        <v>28</v>
      </c>
      <c r="E66" s="40">
        <f>$B66+2*($E$8-$L$22)</f>
        <v>26.5</v>
      </c>
      <c r="F66" s="52">
        <f>F$57/$E66</f>
        <v>0.32075471698113206</v>
      </c>
      <c r="G66" s="53">
        <f>G$57/$E66</f>
        <v>0.39622641509433965</v>
      </c>
      <c r="H66" s="53">
        <f>H$57/$E66</f>
        <v>0.43396226415094341</v>
      </c>
      <c r="I66" s="53">
        <f>I$57/$E66</f>
        <v>0.47169811320754718</v>
      </c>
      <c r="J66" s="53">
        <f>J$57/$E66</f>
        <v>0.54716981132075471</v>
      </c>
      <c r="K66" s="53">
        <f>K$57/$E66</f>
        <v>0.62264150943396224</v>
      </c>
      <c r="L66" s="53">
        <f>L$57/$E66</f>
        <v>0.73584905660377353</v>
      </c>
      <c r="M66" s="53">
        <f>M$57/$E66</f>
        <v>0.84905660377358494</v>
      </c>
      <c r="N66" s="53">
        <f>N$57/$E66</f>
        <v>1</v>
      </c>
      <c r="O66" s="53">
        <f>O$57/$E66</f>
        <v>1.1509433962264151</v>
      </c>
      <c r="P66" s="54">
        <f>P$57/$E66</f>
        <v>1.4528301886792452</v>
      </c>
      <c r="R66" s="2" t="s">
        <v>166</v>
      </c>
      <c r="S66" s="18">
        <f>ROUND(S64/S65,2)</f>
        <v>1.25</v>
      </c>
      <c r="T66" s="18">
        <f>ROUND(T64/T65,2)</f>
        <v>1.29</v>
      </c>
      <c r="U66" s="18">
        <f t="shared" ref="U66" si="4">ROUND(U64/U65,2)</f>
        <v>1.33</v>
      </c>
      <c r="V66" s="18">
        <f>ROUND(V64/V65,2)</f>
        <v>1.4</v>
      </c>
      <c r="W66" s="18">
        <f>ROUND(W64/W65,2)</f>
        <v>1.41</v>
      </c>
      <c r="X66" s="18">
        <f>ROUND(X64/X65,2)</f>
        <v>1.5</v>
      </c>
      <c r="Y66" s="18">
        <f>ROUND(Y64/Y65,2)</f>
        <v>1.6</v>
      </c>
      <c r="AB66" s="12" t="s">
        <v>51</v>
      </c>
      <c r="AC66" s="6" t="s">
        <v>207</v>
      </c>
    </row>
    <row r="67" spans="2:29" x14ac:dyDescent="0.25">
      <c r="B67" s="12">
        <f>O46</f>
        <v>30</v>
      </c>
      <c r="C67" s="42">
        <f>$B67+2*$L$7</f>
        <v>33</v>
      </c>
      <c r="D67" s="12">
        <f>$B67+2*$E$8</f>
        <v>32</v>
      </c>
      <c r="E67" s="40">
        <f>$B67+2*($E$8-$L$22)</f>
        <v>30.5</v>
      </c>
      <c r="F67" s="52">
        <f>F$57/$E67</f>
        <v>0.27868852459016391</v>
      </c>
      <c r="G67" s="53">
        <f>G$57/$E67</f>
        <v>0.34426229508196721</v>
      </c>
      <c r="H67" s="53">
        <f>H$57/$E67</f>
        <v>0.37704918032786883</v>
      </c>
      <c r="I67" s="53">
        <f>I$57/$E67</f>
        <v>0.4098360655737705</v>
      </c>
      <c r="J67" s="53">
        <f>J$57/$E67</f>
        <v>0.47540983606557374</v>
      </c>
      <c r="K67" s="53">
        <f>K$57/$E67</f>
        <v>0.54098360655737709</v>
      </c>
      <c r="L67" s="53">
        <f>L$57/$E67</f>
        <v>0.63934426229508201</v>
      </c>
      <c r="M67" s="53">
        <f>M$57/$E67</f>
        <v>0.73770491803278693</v>
      </c>
      <c r="N67" s="53">
        <f>N$57/$E67</f>
        <v>0.86885245901639341</v>
      </c>
      <c r="O67" s="53">
        <f>O$57/$E67</f>
        <v>1</v>
      </c>
      <c r="P67" s="54">
        <f>P$57/$E67</f>
        <v>1.2622950819672132</v>
      </c>
      <c r="R67" s="2" t="s">
        <v>167</v>
      </c>
      <c r="S67" s="18">
        <f>ROUND(S65/S64,2)</f>
        <v>0.8</v>
      </c>
      <c r="T67" s="18">
        <f>ROUND(T65/T64,2)</f>
        <v>0.77</v>
      </c>
      <c r="U67" s="18">
        <f t="shared" ref="U67" si="5">ROUND(U65/U64,2)</f>
        <v>0.75</v>
      </c>
      <c r="V67" s="18">
        <f>ROUND(V65/V64,2)</f>
        <v>0.71</v>
      </c>
      <c r="W67" s="18">
        <f>ROUND(W65/W64,2)</f>
        <v>0.71</v>
      </c>
      <c r="X67" s="18">
        <f>ROUND(X65/X64,2)</f>
        <v>0.67</v>
      </c>
      <c r="Y67" s="18">
        <f>ROUND(Y65/Y64,2)</f>
        <v>0.63</v>
      </c>
      <c r="AC67" t="s">
        <v>180</v>
      </c>
    </row>
    <row r="68" spans="2:29" x14ac:dyDescent="0.25">
      <c r="B68" s="12">
        <f>P46</f>
        <v>38</v>
      </c>
      <c r="C68" s="43">
        <f>$B68+2*$L$7</f>
        <v>41</v>
      </c>
      <c r="D68" s="12">
        <f>$B68+2*$E$8</f>
        <v>40</v>
      </c>
      <c r="E68" s="41">
        <f>$B68+2*($E$8-$L$22)</f>
        <v>38.5</v>
      </c>
      <c r="F68" s="55">
        <f>F$57/$E68</f>
        <v>0.22077922077922077</v>
      </c>
      <c r="G68" s="56">
        <f>G$57/$E68</f>
        <v>0.27272727272727271</v>
      </c>
      <c r="H68" s="56">
        <f>H$57/$E68</f>
        <v>0.29870129870129869</v>
      </c>
      <c r="I68" s="56">
        <f>I$57/$E68</f>
        <v>0.32467532467532467</v>
      </c>
      <c r="J68" s="56">
        <f>J$57/$E68</f>
        <v>0.37662337662337664</v>
      </c>
      <c r="K68" s="56">
        <f>K$57/$E68</f>
        <v>0.42857142857142855</v>
      </c>
      <c r="L68" s="56">
        <f>L$57/$E68</f>
        <v>0.50649350649350644</v>
      </c>
      <c r="M68" s="56">
        <f>M$57/$E68</f>
        <v>0.58441558441558439</v>
      </c>
      <c r="N68" s="56">
        <f>N$57/$E68</f>
        <v>0.68831168831168832</v>
      </c>
      <c r="O68" s="56">
        <f>O$57/$E68</f>
        <v>0.79220779220779225</v>
      </c>
      <c r="P68" s="57">
        <f>P$57/$E68</f>
        <v>1</v>
      </c>
      <c r="AC68" s="6" t="s">
        <v>181</v>
      </c>
    </row>
    <row r="70" spans="2:29" x14ac:dyDescent="0.25">
      <c r="C70" s="12" t="str">
        <f>CONCATENATE("(",L7,"""")</f>
        <v>(1.5"</v>
      </c>
      <c r="D70" s="12" t="str">
        <f>CONCATENATE("(",E8,"""")</f>
        <v>(1"</v>
      </c>
      <c r="E70" s="12" t="str">
        <f>CONCATENATE("(",L22,"""")</f>
        <v>(0.75"</v>
      </c>
      <c r="F70" s="68" t="str">
        <f>CONCATENATE("Printable width with ",E7,""" wide canvas or paper")</f>
        <v>Printable width with 17" wide canvas or paper</v>
      </c>
      <c r="G70" s="68"/>
      <c r="H70" s="68"/>
      <c r="I70" s="68"/>
      <c r="J70" s="68"/>
      <c r="K70" s="68"/>
      <c r="L70" s="68"/>
      <c r="M70" s="68"/>
      <c r="N70" s="68"/>
      <c r="O70" s="68"/>
      <c r="P70" s="68"/>
      <c r="R70" s="21" t="s">
        <v>90</v>
      </c>
      <c r="AC70" s="21" t="s">
        <v>31</v>
      </c>
    </row>
    <row r="71" spans="2:29" x14ac:dyDescent="0.25">
      <c r="C71" s="12" t="s">
        <v>68</v>
      </c>
      <c r="D71" s="12" t="s">
        <v>69</v>
      </c>
      <c r="E71" s="12" t="s">
        <v>86</v>
      </c>
      <c r="F71" s="69" t="str">
        <f>CONCATENATE("If width &gt;",E7,""", image must be rotated for printing in Step 19")</f>
        <v>If width &gt;17", image must be rotated for printing in Step 19</v>
      </c>
      <c r="G71" s="69"/>
      <c r="H71" s="69"/>
      <c r="I71" s="69"/>
      <c r="J71" s="69"/>
      <c r="K71" s="69"/>
      <c r="L71" s="69"/>
      <c r="M71" s="69"/>
      <c r="N71" s="69"/>
      <c r="O71" s="69"/>
      <c r="P71" s="69"/>
      <c r="R71" s="22" t="s">
        <v>15</v>
      </c>
      <c r="S71" s="22"/>
      <c r="T71" s="22"/>
      <c r="U71" s="22"/>
      <c r="V71" s="22"/>
      <c r="W71" s="22"/>
      <c r="X71" s="22"/>
      <c r="Y71" s="22"/>
      <c r="AC71" s="36" t="s">
        <v>59</v>
      </c>
    </row>
    <row r="72" spans="2:29" x14ac:dyDescent="0.25">
      <c r="C72" s="12" t="s">
        <v>23</v>
      </c>
      <c r="D72" s="12" t="s">
        <v>70</v>
      </c>
      <c r="E72" s="12" t="s">
        <v>65</v>
      </c>
      <c r="R72" t="s">
        <v>16</v>
      </c>
      <c r="AC72" s="27" t="s">
        <v>37</v>
      </c>
    </row>
    <row r="73" spans="2:29" x14ac:dyDescent="0.25">
      <c r="C73" s="12" t="s">
        <v>70</v>
      </c>
      <c r="E73" s="12" t="s">
        <v>71</v>
      </c>
      <c r="L73" s="91"/>
      <c r="M73" s="91"/>
      <c r="R73" t="s">
        <v>125</v>
      </c>
      <c r="AC73" s="27" t="s">
        <v>38</v>
      </c>
    </row>
    <row r="74" spans="2:29" x14ac:dyDescent="0.25">
      <c r="Z74" s="4"/>
      <c r="AC74" s="27" t="s">
        <v>39</v>
      </c>
    </row>
    <row r="75" spans="2:29" x14ac:dyDescent="0.25">
      <c r="R75" t="s">
        <v>174</v>
      </c>
      <c r="Z75" s="4"/>
      <c r="AC75" s="27" t="s">
        <v>35</v>
      </c>
    </row>
    <row r="76" spans="2:29" x14ac:dyDescent="0.25">
      <c r="R76" t="s">
        <v>175</v>
      </c>
      <c r="W76" s="19">
        <v>10.8</v>
      </c>
      <c r="X76" t="str">
        <f>CONCATENATE("cm  (",ROUND(W76/2.54,1),""")")</f>
        <v>cm  (4.3")</v>
      </c>
      <c r="Y76" s="5"/>
      <c r="AC76" s="27" t="s">
        <v>36</v>
      </c>
    </row>
    <row r="77" spans="2:29" x14ac:dyDescent="0.25">
      <c r="R77" t="s">
        <v>43</v>
      </c>
      <c r="Z77" s="3"/>
    </row>
    <row r="78" spans="2:29" x14ac:dyDescent="0.25">
      <c r="R78" t="s">
        <v>17</v>
      </c>
      <c r="Y78" s="4"/>
    </row>
    <row r="80" spans="2:29" x14ac:dyDescent="0.25">
      <c r="R80" t="s">
        <v>172</v>
      </c>
      <c r="W80" s="10">
        <f>ROUND(104-2*W76-2*1.27,1)</f>
        <v>79.900000000000006</v>
      </c>
      <c r="X80" t="str">
        <f>CONCATENATE("cm  (",ROUND(W80/2.54,1),""")")</f>
        <v>cm  (31.5")</v>
      </c>
      <c r="Y80" s="5"/>
      <c r="Z80" s="11" t="s">
        <v>168</v>
      </c>
    </row>
    <row r="81" spans="18:26" x14ac:dyDescent="0.25">
      <c r="Z81" t="s">
        <v>171</v>
      </c>
    </row>
    <row r="82" spans="18:26" x14ac:dyDescent="0.25">
      <c r="R82" t="str">
        <f>CONCATENATE("For the spreader bars (",E15,""" × ",L15,""") entered above:")</f>
        <v>For the spreader bars (19" × 14") entered above:</v>
      </c>
    </row>
    <row r="83" spans="18:26" x14ac:dyDescent="0.25">
      <c r="R83" t="s">
        <v>169</v>
      </c>
      <c r="W83" s="16">
        <f>ROUND(MAX($E$15,$L$15)*2.54+2*1.27,1)</f>
        <v>50.8</v>
      </c>
      <c r="X83" t="str">
        <f>CONCATENATE("cm  (",ROUND(W83/2.54,1),""")")</f>
        <v>cm  (20")</v>
      </c>
      <c r="Y83" s="5"/>
      <c r="Z83" s="11" t="s">
        <v>170</v>
      </c>
    </row>
    <row r="84" spans="18:26" x14ac:dyDescent="0.25">
      <c r="Y84" s="5"/>
      <c r="Z84" t="s">
        <v>173</v>
      </c>
    </row>
  </sheetData>
  <sheetProtection algorithmName="SHA-512" hashValue="+Ia50632L6J3JLc9ArGbM8f0rev6QtB9VTic3Fj5rcLKNHVzqyF761i4hM1hA02B5HYtBVisVnCIsCwMQcwLmQ==" saltValue="Mz0r0u5oXEgKtz+B8byEbg==" spinCount="100000" sheet="1" objects="1" scenarios="1" selectLockedCells="1"/>
  <mergeCells count="18">
    <mergeCell ref="F53:P53"/>
    <mergeCell ref="I4:K4"/>
    <mergeCell ref="F49:P49"/>
    <mergeCell ref="F51:P51"/>
    <mergeCell ref="E45:P45"/>
    <mergeCell ref="N4:P4"/>
    <mergeCell ref="E4:F4"/>
    <mergeCell ref="N5:P5"/>
    <mergeCell ref="AC24:AC25"/>
    <mergeCell ref="I5:K5"/>
    <mergeCell ref="F70:P70"/>
    <mergeCell ref="F71:P71"/>
    <mergeCell ref="B55:B57"/>
    <mergeCell ref="C55:C57"/>
    <mergeCell ref="D55:D57"/>
    <mergeCell ref="E55:E57"/>
    <mergeCell ref="F55:P55"/>
    <mergeCell ref="F56:P56"/>
  </mergeCells>
  <conditionalFormatting sqref="B58:E68">
    <cfRule type="expression" dxfId="23" priority="180">
      <formula>$B58=$L$15</formula>
    </cfRule>
  </conditionalFormatting>
  <conditionalFormatting sqref="E8">
    <cfRule type="expression" dxfId="22" priority="141">
      <formula>$E$8&gt;$L$7</formula>
    </cfRule>
  </conditionalFormatting>
  <conditionalFormatting sqref="E20">
    <cfRule type="expression" dxfId="21" priority="93">
      <formula>$E$20&gt;$E$8</formula>
    </cfRule>
  </conditionalFormatting>
  <conditionalFormatting sqref="E31">
    <cfRule type="expression" dxfId="20" priority="34" stopIfTrue="1">
      <formula>LEFT($E$31,2)="OK"</formula>
    </cfRule>
  </conditionalFormatting>
  <conditionalFormatting sqref="E32">
    <cfRule type="expression" dxfId="19" priority="36" stopIfTrue="1">
      <formula>LEFT($E$32,4)="Will"</formula>
    </cfRule>
    <cfRule type="cellIs" dxfId="18" priority="39" operator="equal">
      <formula>"OK"</formula>
    </cfRule>
  </conditionalFormatting>
  <conditionalFormatting sqref="E31:F31">
    <cfRule type="expression" dxfId="17" priority="35">
      <formula>LEFT($E$31,4)="Will"</formula>
    </cfRule>
  </conditionalFormatting>
  <conditionalFormatting sqref="E18:I18">
    <cfRule type="expression" dxfId="16" priority="10">
      <formula>LEFT($E$18,3)="Not"</formula>
    </cfRule>
  </conditionalFormatting>
  <conditionalFormatting sqref="E29:P29">
    <cfRule type="expression" dxfId="15" priority="25">
      <formula>LEFT($E$29,3)="NOT"</formula>
    </cfRule>
    <cfRule type="expression" dxfId="14" priority="26">
      <formula>LEFT($E$29,3)&lt;&gt;"NOT"</formula>
    </cfRule>
  </conditionalFormatting>
  <conditionalFormatting sqref="E30:P30">
    <cfRule type="expression" dxfId="13" priority="1">
      <formula>LEFT($E$29,2)="Is"</formula>
    </cfRule>
  </conditionalFormatting>
  <conditionalFormatting sqref="E31:P31">
    <cfRule type="expression" dxfId="12" priority="29">
      <formula>LEFT($E$31,6)="Rotate"</formula>
    </cfRule>
  </conditionalFormatting>
  <conditionalFormatting sqref="E32:P32">
    <cfRule type="expression" dxfId="11" priority="37" stopIfTrue="1">
      <formula>LEFT($E$32,5)="Tight"</formula>
    </cfRule>
  </conditionalFormatting>
  <conditionalFormatting sqref="F32">
    <cfRule type="expression" dxfId="10" priority="31">
      <formula>LEFT($E$32,4)="Will"</formula>
    </cfRule>
    <cfRule type="expression" dxfId="9" priority="32">
      <formula>LEFT($E$32,5)="Tight"</formula>
    </cfRule>
  </conditionalFormatting>
  <conditionalFormatting sqref="F9:M9">
    <cfRule type="expression" dxfId="8" priority="11">
      <formula>LEFT($F$9,5)="Inked"</formula>
    </cfRule>
  </conditionalFormatting>
  <conditionalFormatting sqref="F31:P31">
    <cfRule type="expression" dxfId="7" priority="92">
      <formula>LEFT($E$31,8)="Consider"</formula>
    </cfRule>
  </conditionalFormatting>
  <conditionalFormatting sqref="L8">
    <cfRule type="expression" dxfId="6" priority="12">
      <formula>$L$8&lt;0</formula>
    </cfRule>
  </conditionalFormatting>
  <conditionalFormatting sqref="L21">
    <cfRule type="expression" dxfId="5" priority="94">
      <formula>AND($E$21&lt;&gt;0,$L$21&gt;$E$8)</formula>
    </cfRule>
  </conditionalFormatting>
  <conditionalFormatting sqref="L18:P18">
    <cfRule type="expression" dxfId="4" priority="9">
      <formula>LEFT($L$18,3)="Not"</formula>
    </cfRule>
  </conditionalFormatting>
  <conditionalFormatting sqref="F52:P52 F50:P50 F54:P54 F57:P57">
    <cfRule type="expression" dxfId="3" priority="211">
      <formula>F$50=$E$15</formula>
    </cfRule>
  </conditionalFormatting>
  <conditionalFormatting sqref="F52:P52">
    <cfRule type="expression" dxfId="2" priority="215">
      <formula>F$52&lt;=$E$7</formula>
    </cfRule>
    <cfRule type="expression" dxfId="1" priority="216">
      <formula>F$52&gt;$E$7</formula>
    </cfRule>
  </conditionalFormatting>
  <conditionalFormatting sqref="F58:P68">
    <cfRule type="expression" dxfId="0" priority="217">
      <formula>AND(F$50=$E$15,$B58=$L$15)</formula>
    </cfRule>
  </conditionalFormatting>
  <hyperlinks>
    <hyperlink ref="AC71" r:id="rId1" xr:uid="{4F90C26D-6244-4030-AF28-AD2E063C0695}"/>
  </hyperlinks>
  <pageMargins left="0.7" right="0.7" top="0.75" bottom="0.75" header="0.3" footer="0.3"/>
  <pageSetup paperSize="9" orientation="portrait" r:id="rId2"/>
  <ignoredErrors>
    <ignoredError sqref="L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Lester</dc:creator>
  <cp:lastModifiedBy>Lester Gilbert</cp:lastModifiedBy>
  <dcterms:created xsi:type="dcterms:W3CDTF">2017-04-26T16:34:18Z</dcterms:created>
  <dcterms:modified xsi:type="dcterms:W3CDTF">2025-04-27T12:42:33Z</dcterms:modified>
</cp:coreProperties>
</file>