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 yWindow="-12" windowWidth="6588" windowHeight="7788"/>
  </bookViews>
  <sheets>
    <sheet name="Sheeting" sheetId="1" r:id="rId1"/>
    <sheet name="Graph" sheetId="2" r:id="rId2"/>
    <sheet name="Module1" sheetId="3" state="veryHidden" r:id=""/>
  </sheets>
  <definedNames>
    <definedName name="_Regression_Int" localSheetId="0" hidden="1">1</definedName>
    <definedName name="Incr">Sheeting!$B$26</definedName>
    <definedName name="JibBase">Sheeting!$I$27</definedName>
    <definedName name="JibF">Sheeting!$L$22</definedName>
    <definedName name="JibHt">Sheeting!$L$23</definedName>
    <definedName name="JibMaxR">Sheeting!$L$25</definedName>
    <definedName name="JibMinR">Sheeting!$L$24</definedName>
    <definedName name="JibR">Sheeting!$L$26</definedName>
    <definedName name="JibStart">Sheeting!$I$28</definedName>
    <definedName name="MainBase">Sheeting!$B$27</definedName>
    <definedName name="MainF">Sheeting!$B$22</definedName>
    <definedName name="MainHt">Sheeting!$B$23</definedName>
    <definedName name="MainMaxR">Sheeting!$B$21</definedName>
    <definedName name="MainMinR">Sheeting!$B$20</definedName>
    <definedName name="MainR">Sheeting!$B$24</definedName>
    <definedName name="MainStart">Sheeting!$B$28</definedName>
  </definedNames>
  <calcPr calcId="0" iterate="1" iterateCount="50"/>
</workbook>
</file>

<file path=xl/calcChain.xml><?xml version="1.0" encoding="utf-8"?>
<calcChain xmlns="http://schemas.openxmlformats.org/spreadsheetml/2006/main">
  <c r="A3" i="2"/>
  <c r="A4"/>
  <c r="A5"/>
  <c r="A6"/>
  <c r="A7"/>
  <c r="A8"/>
  <c r="A9"/>
  <c r="A10"/>
  <c r="A11"/>
  <c r="A12"/>
  <c r="A13"/>
  <c r="A14"/>
  <c r="A15"/>
  <c r="A16"/>
  <c r="A17"/>
  <c r="A18"/>
  <c r="A19"/>
  <c r="A20"/>
  <c r="A21"/>
  <c r="A22"/>
  <c r="A23"/>
  <c r="C25"/>
  <c r="B26"/>
  <c r="C26"/>
  <c r="B27"/>
  <c r="C27"/>
  <c r="D20" i="1"/>
  <c r="K20"/>
  <c r="D21"/>
  <c r="K21"/>
  <c r="L22"/>
  <c r="L23"/>
  <c r="B24"/>
  <c r="B25" i="2" s="1"/>
  <c r="L24" i="1"/>
  <c r="O24"/>
  <c r="P24"/>
  <c r="Q24"/>
  <c r="L25"/>
  <c r="O25"/>
  <c r="P25"/>
  <c r="Q25"/>
  <c r="L26"/>
  <c r="O26"/>
  <c r="P26"/>
  <c r="Q26"/>
  <c r="O27"/>
  <c r="P27"/>
  <c r="Q27"/>
  <c r="B28"/>
  <c r="B33" s="1"/>
  <c r="C33" s="1"/>
  <c r="D33" s="1"/>
  <c r="E33" s="1"/>
  <c r="F33" s="1"/>
  <c r="B5" i="2" s="1"/>
  <c r="I28" i="1"/>
  <c r="O28"/>
  <c r="P28"/>
  <c r="Q28"/>
  <c r="O29"/>
  <c r="P29"/>
  <c r="Q29"/>
  <c r="I31"/>
  <c r="J31" s="1"/>
  <c r="K31" s="1"/>
  <c r="L31" s="1"/>
  <c r="M31" s="1"/>
  <c r="I32"/>
  <c r="J32"/>
  <c r="K32" s="1"/>
  <c r="L32" s="1"/>
  <c r="M32" s="1"/>
  <c r="I33"/>
  <c r="J33" s="1"/>
  <c r="K33" s="1"/>
  <c r="L33" s="1"/>
  <c r="M33" s="1"/>
  <c r="I34"/>
  <c r="J34"/>
  <c r="K34" s="1"/>
  <c r="L34" s="1"/>
  <c r="M34" s="1"/>
  <c r="I35"/>
  <c r="J35" s="1"/>
  <c r="K35" s="1"/>
  <c r="L35" s="1"/>
  <c r="M35" s="1"/>
  <c r="I36"/>
  <c r="J36"/>
  <c r="K36" s="1"/>
  <c r="L36" s="1"/>
  <c r="M36" s="1"/>
  <c r="I37"/>
  <c r="J37" s="1"/>
  <c r="K37" s="1"/>
  <c r="L37" s="1"/>
  <c r="M37" s="1"/>
  <c r="I38"/>
  <c r="J38"/>
  <c r="K38" s="1"/>
  <c r="L38" s="1"/>
  <c r="M38" s="1"/>
  <c r="I39"/>
  <c r="J39" s="1"/>
  <c r="K39" s="1"/>
  <c r="L39" s="1"/>
  <c r="M39" s="1"/>
  <c r="I40"/>
  <c r="J40"/>
  <c r="K40" s="1"/>
  <c r="L40" s="1"/>
  <c r="M40" s="1"/>
  <c r="I41"/>
  <c r="J41" s="1"/>
  <c r="K41" s="1"/>
  <c r="L41" s="1"/>
  <c r="M41" s="1"/>
  <c r="I42"/>
  <c r="J42"/>
  <c r="K42" s="1"/>
  <c r="L42" s="1"/>
  <c r="M42" s="1"/>
  <c r="I43"/>
  <c r="J43" s="1"/>
  <c r="K43" s="1"/>
  <c r="L43" s="1"/>
  <c r="M43" s="1"/>
  <c r="I44"/>
  <c r="J44"/>
  <c r="K44" s="1"/>
  <c r="L44" s="1"/>
  <c r="M44" s="1"/>
  <c r="I45"/>
  <c r="J45" s="1"/>
  <c r="K45" s="1"/>
  <c r="L45" s="1"/>
  <c r="M45" s="1"/>
  <c r="I46"/>
  <c r="J46"/>
  <c r="K46" s="1"/>
  <c r="L46" s="1"/>
  <c r="M46" s="1"/>
  <c r="I47"/>
  <c r="J47" s="1"/>
  <c r="K47" s="1"/>
  <c r="L47" s="1"/>
  <c r="M47" s="1"/>
  <c r="I48"/>
  <c r="J48"/>
  <c r="K48" s="1"/>
  <c r="L48" s="1"/>
  <c r="M48" s="1"/>
  <c r="I49"/>
  <c r="J49" s="1"/>
  <c r="K49" s="1"/>
  <c r="L49" s="1"/>
  <c r="M49" s="1"/>
  <c r="I50"/>
  <c r="J50"/>
  <c r="K50" s="1"/>
  <c r="L50" s="1"/>
  <c r="M50" s="1"/>
  <c r="I51"/>
  <c r="J51" s="1"/>
  <c r="K51" s="1"/>
  <c r="L51" s="1"/>
  <c r="M51" s="1"/>
  <c r="H57"/>
  <c r="B50" l="1"/>
  <c r="C50" s="1"/>
  <c r="D50" s="1"/>
  <c r="E50" s="1"/>
  <c r="F50" s="1"/>
  <c r="B22" i="2" s="1"/>
  <c r="B48" i="1"/>
  <c r="C48" s="1"/>
  <c r="D48" s="1"/>
  <c r="E48" s="1"/>
  <c r="F48" s="1"/>
  <c r="B20" i="2" s="1"/>
  <c r="B47" i="1"/>
  <c r="C47" s="1"/>
  <c r="D47" s="1"/>
  <c r="E47" s="1"/>
  <c r="F47" s="1"/>
  <c r="B19" i="2" s="1"/>
  <c r="B44" i="1"/>
  <c r="C44" s="1"/>
  <c r="D44" s="1"/>
  <c r="E44" s="1"/>
  <c r="F44" s="1"/>
  <c r="B16" i="2" s="1"/>
  <c r="B43" i="1"/>
  <c r="C43" s="1"/>
  <c r="D43" s="1"/>
  <c r="E43" s="1"/>
  <c r="F43" s="1"/>
  <c r="B15" i="2" s="1"/>
  <c r="B40" i="1"/>
  <c r="C40" s="1"/>
  <c r="D40" s="1"/>
  <c r="E40" s="1"/>
  <c r="F40" s="1"/>
  <c r="B12" i="2" s="1"/>
  <c r="B39" i="1"/>
  <c r="C39" s="1"/>
  <c r="D39" s="1"/>
  <c r="E39" s="1"/>
  <c r="F39" s="1"/>
  <c r="B11" i="2" s="1"/>
  <c r="B36" i="1"/>
  <c r="C36" s="1"/>
  <c r="D36" s="1"/>
  <c r="E36" s="1"/>
  <c r="F36" s="1"/>
  <c r="B8" i="2" s="1"/>
  <c r="B35" i="1"/>
  <c r="C35" s="1"/>
  <c r="D35" s="1"/>
  <c r="E35" s="1"/>
  <c r="F35" s="1"/>
  <c r="B7" i="2" s="1"/>
  <c r="B32" i="1"/>
  <c r="C32" s="1"/>
  <c r="D32" s="1"/>
  <c r="E32" s="1"/>
  <c r="F32" s="1"/>
  <c r="B4" i="2" s="1"/>
  <c r="B31" i="1"/>
  <c r="C31" s="1"/>
  <c r="D31" s="1"/>
  <c r="E31" s="1"/>
  <c r="F31" s="1"/>
  <c r="B51"/>
  <c r="C51" s="1"/>
  <c r="D51" s="1"/>
  <c r="E51" s="1"/>
  <c r="F51" s="1"/>
  <c r="B23" i="2" s="1"/>
  <c r="B49" i="1"/>
  <c r="C49" s="1"/>
  <c r="D49" s="1"/>
  <c r="E49" s="1"/>
  <c r="F49" s="1"/>
  <c r="B21" i="2" s="1"/>
  <c r="B46" i="1"/>
  <c r="C46" s="1"/>
  <c r="D46" s="1"/>
  <c r="E46" s="1"/>
  <c r="F46" s="1"/>
  <c r="B18" i="2" s="1"/>
  <c r="B45" i="1"/>
  <c r="C45" s="1"/>
  <c r="D45" s="1"/>
  <c r="E45" s="1"/>
  <c r="F45" s="1"/>
  <c r="B17" i="2" s="1"/>
  <c r="B42" i="1"/>
  <c r="C42" s="1"/>
  <c r="D42" s="1"/>
  <c r="E42" s="1"/>
  <c r="F42" s="1"/>
  <c r="B14" i="2" s="1"/>
  <c r="B41" i="1"/>
  <c r="C41" s="1"/>
  <c r="D41" s="1"/>
  <c r="E41" s="1"/>
  <c r="F41" s="1"/>
  <c r="B13" i="2" s="1"/>
  <c r="B38" i="1"/>
  <c r="C38" s="1"/>
  <c r="D38" s="1"/>
  <c r="E38" s="1"/>
  <c r="F38" s="1"/>
  <c r="B10" i="2" s="1"/>
  <c r="B37" i="1"/>
  <c r="C37" s="1"/>
  <c r="D37" s="1"/>
  <c r="E37" s="1"/>
  <c r="F37" s="1"/>
  <c r="B9" i="2" s="1"/>
  <c r="B34" i="1"/>
  <c r="C34" s="1"/>
  <c r="D34" s="1"/>
  <c r="E34" s="1"/>
  <c r="F34" s="1"/>
  <c r="B6" i="2" s="1"/>
  <c r="C23"/>
  <c r="C20"/>
  <c r="O48" i="1"/>
  <c r="C19" i="2"/>
  <c r="O47" i="1"/>
  <c r="C18" i="2"/>
  <c r="O45" i="1"/>
  <c r="C17" i="2"/>
  <c r="C14"/>
  <c r="O41" i="1"/>
  <c r="C13" i="2"/>
  <c r="C10"/>
  <c r="B3"/>
  <c r="G32" i="1"/>
  <c r="G34"/>
  <c r="G36"/>
  <c r="G38"/>
  <c r="G40"/>
  <c r="G42"/>
  <c r="G44"/>
  <c r="G46"/>
  <c r="G50"/>
  <c r="G31"/>
  <c r="G33"/>
  <c r="G35"/>
  <c r="G37"/>
  <c r="G39"/>
  <c r="G41"/>
  <c r="G43"/>
  <c r="G45"/>
  <c r="G47"/>
  <c r="G49"/>
  <c r="G51"/>
  <c r="G48"/>
  <c r="C22" i="2"/>
  <c r="O50" i="1"/>
  <c r="C21" i="2"/>
  <c r="O49" i="1"/>
  <c r="C16" i="2"/>
  <c r="O44" i="1"/>
  <c r="O43"/>
  <c r="C15" i="2"/>
  <c r="C12"/>
  <c r="O40" i="1"/>
  <c r="O39"/>
  <c r="C11" i="2"/>
  <c r="O37" i="1"/>
  <c r="C9" i="2"/>
  <c r="C8"/>
  <c r="O36" i="1"/>
  <c r="O35"/>
  <c r="C7" i="2"/>
  <c r="C6"/>
  <c r="O34" i="1"/>
  <c r="O33"/>
  <c r="C5" i="2"/>
  <c r="C4"/>
  <c r="O32" i="1"/>
  <c r="O31"/>
  <c r="N32"/>
  <c r="N34"/>
  <c r="N36"/>
  <c r="N38"/>
  <c r="N40"/>
  <c r="N42"/>
  <c r="N44"/>
  <c r="N46"/>
  <c r="N48"/>
  <c r="C3" i="2"/>
  <c r="N31" i="1"/>
  <c r="N33"/>
  <c r="N35"/>
  <c r="N37"/>
  <c r="N39"/>
  <c r="N41"/>
  <c r="N43"/>
  <c r="N45"/>
  <c r="N47"/>
  <c r="N49"/>
  <c r="N51"/>
  <c r="N50"/>
  <c r="B57"/>
  <c r="O38" l="1"/>
  <c r="O42"/>
  <c r="O46"/>
  <c r="O51"/>
</calcChain>
</file>

<file path=xl/sharedStrings.xml><?xml version="1.0" encoding="utf-8"?>
<sst xmlns="http://schemas.openxmlformats.org/spreadsheetml/2006/main" count="92" uniqueCount="54">
  <si>
    <t>SHEETING CALCULATOR</t>
  </si>
  <si>
    <t>Version 2:  More accurately models the jib boom</t>
  </si>
  <si>
    <t>Version 3:  Allows a sliding sheet attachment point</t>
  </si>
  <si>
    <t>MAIN</t>
  </si>
  <si>
    <t>JIB</t>
  </si>
  <si>
    <t>Rig</t>
  </si>
  <si>
    <t>Rig#:</t>
  </si>
  <si>
    <t>Min R:</t>
  </si>
  <si>
    <t xml:space="preserve"> mm</t>
  </si>
  <si>
    <t>Luff</t>
  </si>
  <si>
    <t>Max R:</t>
  </si>
  <si>
    <t>Leech</t>
  </si>
  <si>
    <t>F:</t>
  </si>
  <si>
    <t>f:</t>
  </si>
  <si>
    <t>Foot</t>
  </si>
  <si>
    <t>Ht:</t>
  </si>
  <si>
    <t>ht:</t>
  </si>
  <si>
    <t>Offset</t>
  </si>
  <si>
    <t>R:</t>
  </si>
  <si>
    <t>min r:</t>
  </si>
  <si>
    <t>Off%</t>
  </si>
  <si>
    <t>max r:</t>
  </si>
  <si>
    <t>Tack</t>
  </si>
  <si>
    <t>deg</t>
  </si>
  <si>
    <t>Incr:</t>
  </si>
  <si>
    <t>r:</t>
  </si>
  <si>
    <t>Clew</t>
  </si>
  <si>
    <t>Base:</t>
  </si>
  <si>
    <t xml:space="preserve"> deg</t>
  </si>
  <si>
    <t>P.luff</t>
  </si>
  <si>
    <t>Start:</t>
  </si>
  <si>
    <t>P.foot</t>
  </si>
  <si>
    <t>Pivot</t>
  </si>
  <si>
    <t>Step</t>
  </si>
  <si>
    <t>Feed</t>
  </si>
  <si>
    <t>eff</t>
  </si>
  <si>
    <t>Try R</t>
  </si>
  <si>
    <t>New R</t>
  </si>
  <si>
    <t>MSA</t>
  </si>
  <si>
    <t>Flag</t>
  </si>
  <si>
    <t>JSA</t>
  </si>
  <si>
    <t>Diff</t>
  </si>
  <si>
    <t>The "feed" represents the amount of line that is spooled.</t>
  </si>
  <si>
    <t>Subtract the feed of step 0 from that of step 20 to see the amount of line spooled</t>
  </si>
  <si>
    <t xml:space="preserve"> from "fully sheeted in" to "fully sheeted out".  This is given below:</t>
  </si>
  <si>
    <t>mm</t>
  </si>
  <si>
    <t>Net line spooled</t>
  </si>
  <si>
    <t>R</t>
  </si>
  <si>
    <t>Max main sheeting angle</t>
  </si>
  <si>
    <t>F</t>
  </si>
  <si>
    <t>Ht</t>
  </si>
  <si>
    <t>R = radius</t>
  </si>
  <si>
    <t>Ht = height</t>
  </si>
  <si>
    <t>F = fairlead</t>
  </si>
</sst>
</file>

<file path=xl/styles.xml><?xml version="1.0" encoding="utf-8"?>
<styleSheet xmlns="http://schemas.openxmlformats.org/spreadsheetml/2006/main">
  <numFmts count="4">
    <numFmt numFmtId="172" formatCode="0.0%"/>
    <numFmt numFmtId="173" formatCode="0.0_)"/>
    <numFmt numFmtId="174" formatCode="0_)"/>
    <numFmt numFmtId="175" formatCode="0.0"/>
  </numFmts>
  <fonts count="7">
    <font>
      <sz val="10"/>
      <name val="Courier"/>
    </font>
    <font>
      <b/>
      <sz val="10"/>
      <name val="Arial"/>
    </font>
    <font>
      <sz val="10"/>
      <color indexed="8"/>
      <name val="Courier"/>
      <family val="3"/>
    </font>
    <font>
      <sz val="10"/>
      <color indexed="10"/>
      <name val="Courier"/>
      <family val="3"/>
    </font>
    <font>
      <sz val="10"/>
      <color indexed="12"/>
      <name val="Courier"/>
      <family val="3"/>
    </font>
    <font>
      <sz val="10"/>
      <color indexed="50"/>
      <name val="Courier"/>
      <family val="3"/>
    </font>
    <font>
      <b/>
      <sz val="12"/>
      <name val="Courier"/>
      <family val="3"/>
    </font>
  </fonts>
  <fills count="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0" borderId="0" xfId="0" applyAlignment="1" applyProtection="1">
      <alignment horizontal="left"/>
    </xf>
    <xf numFmtId="0" fontId="0" fillId="0" borderId="0" xfId="0" applyAlignment="1" applyProtection="1">
      <alignment horizontal="right"/>
    </xf>
    <xf numFmtId="0" fontId="0" fillId="0" borderId="0" xfId="0" applyProtection="1"/>
    <xf numFmtId="172" fontId="0" fillId="0" borderId="0" xfId="0" applyNumberFormat="1" applyProtection="1"/>
    <xf numFmtId="173" fontId="0" fillId="0" borderId="0" xfId="0" applyNumberFormat="1" applyProtection="1"/>
    <xf numFmtId="174" fontId="0" fillId="0" borderId="0" xfId="0" applyNumberFormat="1" applyProtection="1"/>
    <xf numFmtId="9" fontId="0" fillId="0" borderId="0" xfId="0" applyNumberFormat="1" applyProtection="1"/>
    <xf numFmtId="0" fontId="0" fillId="2" borderId="0" xfId="0" applyFill="1" applyProtection="1"/>
    <xf numFmtId="0" fontId="0" fillId="0" borderId="0" xfId="0" applyAlignment="1">
      <alignment horizontal="right"/>
    </xf>
    <xf numFmtId="0" fontId="2" fillId="0" borderId="0" xfId="0" applyFont="1" applyAlignment="1" applyProtection="1">
      <alignment horizontal="right"/>
      <protection locked="0"/>
    </xf>
    <xf numFmtId="0" fontId="2" fillId="0" borderId="0" xfId="0" applyFont="1" applyProtection="1">
      <protection locked="0"/>
    </xf>
    <xf numFmtId="0" fontId="2" fillId="0" borderId="0" xfId="0" applyFont="1"/>
    <xf numFmtId="0" fontId="3" fillId="0" borderId="0" xfId="0" applyFont="1" applyProtection="1"/>
    <xf numFmtId="0" fontId="0" fillId="3" borderId="0" xfId="0" applyFill="1" applyProtection="1"/>
    <xf numFmtId="175" fontId="0" fillId="0" borderId="0" xfId="0" applyNumberFormat="1"/>
    <xf numFmtId="0" fontId="0" fillId="2" borderId="0" xfId="0" applyFill="1"/>
    <xf numFmtId="0" fontId="4" fillId="0" borderId="0" xfId="0" applyFont="1" applyAlignment="1" applyProtection="1">
      <alignment horizontal="right"/>
    </xf>
    <xf numFmtId="0" fontId="5" fillId="0" borderId="0" xfId="0" applyFont="1" applyAlignment="1" applyProtection="1">
      <alignment horizontal="right"/>
    </xf>
    <xf numFmtId="173" fontId="0" fillId="0" borderId="0" xfId="0" applyNumberFormat="1" applyAlignment="1" applyProtection="1">
      <alignment horizontal="right"/>
    </xf>
    <xf numFmtId="1" fontId="0" fillId="0" borderId="0" xfId="0" applyNumberFormat="1"/>
    <xf numFmtId="0" fontId="5" fillId="3" borderId="0" xfId="0" applyFont="1" applyFill="1" applyProtection="1"/>
    <xf numFmtId="0" fontId="0" fillId="0" borderId="0" xfId="0" applyFill="1" applyProtection="1"/>
    <xf numFmtId="0" fontId="3" fillId="0" borderId="0" xfId="0" applyFont="1" applyAlignment="1" applyProtection="1">
      <alignment horizontal="left"/>
      <protection locked="0"/>
    </xf>
    <xf numFmtId="175" fontId="4" fillId="0" borderId="0" xfId="0" applyNumberFormat="1" applyFont="1" applyFill="1" applyProtection="1"/>
    <xf numFmtId="0" fontId="6" fillId="0" borderId="0" xfId="0" applyFont="1" applyAlignment="1" applyProtection="1">
      <alignment horizontal="left"/>
    </xf>
    <xf numFmtId="0" fontId="6" fillId="0" borderId="1" xfId="0" applyFont="1" applyBorder="1" applyAlignment="1" applyProtection="1">
      <alignment horizontal="centerContinuous"/>
    </xf>
    <xf numFmtId="0" fontId="6" fillId="0" borderId="2" xfId="0" applyFont="1" applyBorder="1" applyAlignment="1" applyProtection="1">
      <alignment horizontal="centerContinuous"/>
    </xf>
    <xf numFmtId="0" fontId="6" fillId="0" borderId="3" xfId="0" applyFont="1" applyBorder="1" applyAlignment="1" applyProtection="1">
      <alignment horizontal="centerContinuous"/>
    </xf>
    <xf numFmtId="173" fontId="0" fillId="4" borderId="0" xfId="0" applyNumberFormat="1" applyFill="1" applyProtection="1"/>
    <xf numFmtId="0" fontId="0" fillId="0" borderId="0" xfId="0" applyBorder="1"/>
    <xf numFmtId="0" fontId="1" fillId="0" borderId="0" xfId="0" applyFont="1" applyBorder="1" applyAlignment="1">
      <alignment horizontal="right"/>
    </xf>
    <xf numFmtId="175" fontId="0" fillId="0" borderId="0" xfId="0" applyNumberFormat="1" applyBorder="1"/>
    <xf numFmtId="0" fontId="0" fillId="2" borderId="0" xfId="0"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000" b="1" i="0" u="none" strike="noStrike" baseline="0">
                <a:solidFill>
                  <a:srgbClr val="000000"/>
                </a:solidFill>
                <a:latin typeface="Arial"/>
                <a:ea typeface="Arial"/>
                <a:cs typeface="Arial"/>
              </a:defRPr>
            </a:pPr>
            <a:r>
              <a:t>Sheeting angles</a:t>
            </a:r>
          </a:p>
        </c:rich>
      </c:tx>
      <c:layout>
        <c:manualLayout>
          <c:xMode val="edge"/>
          <c:yMode val="edge"/>
          <c:x val="0.39075630252100835"/>
          <c:y val="7.3496659242761705E-2"/>
        </c:manualLayout>
      </c:layout>
      <c:spPr>
        <a:noFill/>
        <a:ln w="25400">
          <a:noFill/>
        </a:ln>
      </c:spPr>
    </c:title>
    <c:plotArea>
      <c:layout>
        <c:manualLayout>
          <c:layoutTarget val="inner"/>
          <c:xMode val="edge"/>
          <c:yMode val="edge"/>
          <c:x val="0.1204481792717087"/>
          <c:y val="0.16703786191536749"/>
          <c:w val="0.72829131652661072"/>
          <c:h val="0.67260579064587978"/>
        </c:manualLayout>
      </c:layout>
      <c:lineChart>
        <c:grouping val="standard"/>
        <c:ser>
          <c:idx val="0"/>
          <c:order val="0"/>
          <c:tx>
            <c:strRef>
              <c:f>Graph!$B$2</c:f>
              <c:strCache>
                <c:ptCount val="1"/>
                <c:pt idx="0">
                  <c:v>MSA</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Graph!$B$3:$B$23</c:f>
              <c:numCache>
                <c:formatCode>0.0</c:formatCode>
                <c:ptCount val="21"/>
                <c:pt idx="0">
                  <c:v>4.9999999999999947</c:v>
                </c:pt>
                <c:pt idx="1">
                  <c:v>12.671723229357324</c:v>
                </c:pt>
                <c:pt idx="2">
                  <c:v>18.46342326026944</c:v>
                </c:pt>
                <c:pt idx="3">
                  <c:v>23.8164175369246</c:v>
                </c:pt>
                <c:pt idx="4">
                  <c:v>29.002701614663295</c:v>
                </c:pt>
                <c:pt idx="5">
                  <c:v>34.128172335040311</c:v>
                </c:pt>
                <c:pt idx="6">
                  <c:v>39.248685082660955</c:v>
                </c:pt>
                <c:pt idx="7">
                  <c:v>44.400658850181223</c:v>
                </c:pt>
                <c:pt idx="8">
                  <c:v>49.612256719137612</c:v>
                </c:pt>
                <c:pt idx="9">
                  <c:v>54.908477251776219</c:v>
                </c:pt>
                <c:pt idx="10">
                  <c:v>60.314007887934345</c:v>
                </c:pt>
                <c:pt idx="11">
                  <c:v>65.855252391715652</c:v>
                </c:pt>
                <c:pt idx="12">
                  <c:v>71.562192863865548</c:v>
                </c:pt>
                <c:pt idx="13">
                  <c:v>77.470526219706855</c:v>
                </c:pt>
                <c:pt idx="14">
                  <c:v>83.624533878256031</c:v>
                </c:pt>
                <c:pt idx="15">
                  <c:v>90</c:v>
                </c:pt>
                <c:pt idx="16">
                  <c:v>90</c:v>
                </c:pt>
                <c:pt idx="17">
                  <c:v>90</c:v>
                </c:pt>
                <c:pt idx="18">
                  <c:v>90</c:v>
                </c:pt>
                <c:pt idx="19">
                  <c:v>90</c:v>
                </c:pt>
                <c:pt idx="20">
                  <c:v>90</c:v>
                </c:pt>
              </c:numCache>
            </c:numRef>
          </c:val>
          <c:smooth val="1"/>
        </c:ser>
        <c:ser>
          <c:idx val="1"/>
          <c:order val="1"/>
          <c:tx>
            <c:strRef>
              <c:f>Graph!$C$2</c:f>
              <c:strCache>
                <c:ptCount val="1"/>
                <c:pt idx="0">
                  <c:v>JSA</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Graph!$A$3:$A$23</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Graph!$C$3:$C$23</c:f>
              <c:numCache>
                <c:formatCode>0.0</c:formatCode>
                <c:ptCount val="21"/>
                <c:pt idx="0">
                  <c:v>14.999999999999982</c:v>
                </c:pt>
                <c:pt idx="1">
                  <c:v>19.222574991297446</c:v>
                </c:pt>
                <c:pt idx="2">
                  <c:v>23.156477232559652</c:v>
                </c:pt>
                <c:pt idx="3">
                  <c:v>26.939093767346048</c:v>
                </c:pt>
                <c:pt idx="4">
                  <c:v>30.637393544556076</c:v>
                </c:pt>
                <c:pt idx="5">
                  <c:v>34.289929466088005</c:v>
                </c:pt>
                <c:pt idx="6">
                  <c:v>37.921666168042307</c:v>
                </c:pt>
                <c:pt idx="7">
                  <c:v>41.550374816384142</c:v>
                </c:pt>
                <c:pt idx="8">
                  <c:v>45.189788036185035</c:v>
                </c:pt>
                <c:pt idx="9">
                  <c:v>48.851325309448676</c:v>
                </c:pt>
                <c:pt idx="10">
                  <c:v>52.545125257838279</c:v>
                </c:pt>
                <c:pt idx="11">
                  <c:v>56.280721091897774</c:v>
                </c:pt>
                <c:pt idx="12">
                  <c:v>60.067528502167086</c:v>
                </c:pt>
                <c:pt idx="13">
                  <c:v>63.91523992657342</c:v>
                </c:pt>
                <c:pt idx="14">
                  <c:v>67.834183946590116</c:v>
                </c:pt>
                <c:pt idx="15">
                  <c:v>71.835693109223854</c:v>
                </c:pt>
                <c:pt idx="16">
                  <c:v>75.932519446799262</c:v>
                </c:pt>
                <c:pt idx="17">
                  <c:v>80.139341610816643</c:v>
                </c:pt>
                <c:pt idx="18">
                  <c:v>84.47342146721931</c:v>
                </c:pt>
                <c:pt idx="19">
                  <c:v>88.95549519011108</c:v>
                </c:pt>
                <c:pt idx="20">
                  <c:v>93.611033538931281</c:v>
                </c:pt>
              </c:numCache>
            </c:numRef>
          </c:val>
          <c:smooth val="1"/>
        </c:ser>
        <c:marker val="1"/>
        <c:axId val="160354688"/>
        <c:axId val="160357376"/>
      </c:lineChart>
      <c:catAx>
        <c:axId val="160354688"/>
        <c:scaling>
          <c:orientation val="minMax"/>
        </c:scaling>
        <c:axPos val="b"/>
        <c:title>
          <c:tx>
            <c:rich>
              <a:bodyPr/>
              <a:lstStyle/>
              <a:p>
                <a:pPr>
                  <a:defRPr sz="800" b="1" i="0" u="none" strike="noStrike" baseline="0">
                    <a:solidFill>
                      <a:srgbClr val="000000"/>
                    </a:solidFill>
                    <a:latin typeface="Arial"/>
                    <a:ea typeface="Arial"/>
                    <a:cs typeface="Arial"/>
                  </a:defRPr>
                </a:pPr>
                <a:r>
                  <a:t>Step</a:t>
                </a:r>
              </a:p>
            </c:rich>
          </c:tx>
          <c:layout>
            <c:manualLayout>
              <c:xMode val="edge"/>
              <c:yMode val="edge"/>
              <c:x val="0.81092436974789917"/>
              <c:y val="0.90868596881959918"/>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357376"/>
        <c:crosses val="autoZero"/>
        <c:lblAlgn val="ctr"/>
        <c:lblOffset val="100"/>
        <c:tickLblSkip val="1"/>
        <c:tickMarkSkip val="1"/>
      </c:catAx>
      <c:valAx>
        <c:axId val="160357376"/>
        <c:scaling>
          <c:orientation val="minMax"/>
          <c:max val="100"/>
        </c:scaling>
        <c:axPos val="l"/>
        <c:title>
          <c:tx>
            <c:rich>
              <a:bodyPr rot="0" vert="horz"/>
              <a:lstStyle/>
              <a:p>
                <a:pPr algn="ctr">
                  <a:defRPr sz="800" b="1" i="0" u="none" strike="noStrike" baseline="0">
                    <a:solidFill>
                      <a:srgbClr val="000000"/>
                    </a:solidFill>
                    <a:latin typeface="Arial"/>
                    <a:ea typeface="Arial"/>
                    <a:cs typeface="Arial"/>
                  </a:defRPr>
                </a:pPr>
                <a:r>
                  <a:t>Degrees</a:t>
                </a:r>
              </a:p>
            </c:rich>
          </c:tx>
          <c:layout>
            <c:manualLayout>
              <c:xMode val="edge"/>
              <c:yMode val="edge"/>
              <c:x val="7.2829131652661069E-2"/>
              <c:y val="7.3496659242761705E-2"/>
            </c:manualLayout>
          </c:layout>
          <c:spPr>
            <a:noFill/>
            <a:ln w="25400">
              <a:noFill/>
            </a:ln>
          </c:spPr>
        </c:title>
        <c:numFmt formatCode="0.0" sourceLinked="1"/>
        <c:maj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354688"/>
        <c:crosses val="autoZero"/>
        <c:crossBetween val="midCat"/>
      </c:valAx>
      <c:spPr>
        <a:solidFill>
          <a:srgbClr val="C0C0C0"/>
        </a:solidFill>
        <a:ln w="12700">
          <a:solidFill>
            <a:srgbClr val="80808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0.17226890756302521"/>
          <c:y val="0.23385300668151449"/>
          <c:w val="0.10224089635854341"/>
          <c:h val="9.5768374164810696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horizontalDpi="300" verticalDpi="300"/>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68580</xdr:colOff>
      <xdr:row>2</xdr:row>
      <xdr:rowOff>7620</xdr:rowOff>
    </xdr:from>
    <xdr:to>
      <xdr:col>7</xdr:col>
      <xdr:colOff>160020</xdr:colOff>
      <xdr:row>16</xdr:row>
      <xdr:rowOff>91440</xdr:rowOff>
    </xdr:to>
    <xdr:sp macro="" textlink="">
      <xdr:nvSpPr>
        <xdr:cNvPr id="1029" name="Text 1"/>
        <xdr:cNvSpPr txBox="1">
          <a:spLocks noChangeArrowheads="1"/>
        </xdr:cNvSpPr>
      </xdr:nvSpPr>
      <xdr:spPr bwMode="auto">
        <a:xfrm>
          <a:off x="68580" y="388620"/>
          <a:ext cx="3451860" cy="2217420"/>
        </a:xfrm>
        <a:prstGeom prst="rect">
          <a:avLst/>
        </a:prstGeom>
        <a:solidFill>
          <a:srgbClr val="FFFFFF"/>
        </a:solidFill>
        <a:ln w="9525" cap="flat">
          <a:solidFill>
            <a:srgbClr val="000000"/>
          </a:solidFill>
          <a:prstDash val="solid"/>
          <a:miter lim="800000"/>
          <a:headEnd/>
          <a:tailEnd/>
        </a:ln>
      </xdr:spPr>
      <xdr:txBody>
        <a:bodyPr vertOverflow="clip" wrap="square" lIns="36576" tIns="27432" rIns="0" bIns="0" anchor="t" upright="1"/>
        <a:lstStyle/>
        <a:p>
          <a:pPr algn="l" rtl="0">
            <a:defRPr sz="1000"/>
          </a:pPr>
          <a:r>
            <a:rPr lang="en-GB" sz="1000" b="0" i="0" u="none" strike="noStrike" baseline="0">
              <a:solidFill>
                <a:srgbClr val="FF0000"/>
              </a:solidFill>
              <a:latin typeface="Arial"/>
              <a:cs typeface="Arial"/>
            </a:rPr>
            <a:t>Enter min and max R, F, Ht values.  (See Web page diagrams.)</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 fixed sheet attachment point, enter the same value for R in both the "Max R" and "Min R" cells.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a:t>
          </a:r>
          <a:r>
            <a:rPr lang="en-GB" sz="1000" b="0" i="0" u="none" strike="noStrike" baseline="0">
              <a:solidFill>
                <a:srgbClr val="0000FF"/>
              </a:solidFill>
              <a:latin typeface="Arial"/>
              <a:cs typeface="Arial"/>
            </a:rPr>
            <a:t>"Start"</a:t>
          </a:r>
          <a:r>
            <a:rPr lang="en-GB" sz="1000" b="0" i="0" u="none" strike="noStrike" baseline="0">
              <a:solidFill>
                <a:srgbClr val="000000"/>
              </a:solidFill>
              <a:latin typeface="Arial"/>
              <a:cs typeface="Arial"/>
            </a:rPr>
            <a:t> value is the amount of sheet feed between fairlead and boom needed to have the sheeting angle start from the required </a:t>
          </a:r>
          <a:r>
            <a:rPr lang="en-GB" sz="1000" b="0" i="0" u="none" strike="noStrike" baseline="0">
              <a:solidFill>
                <a:srgbClr val="339933"/>
              </a:solidFill>
              <a:latin typeface="Arial"/>
              <a:cs typeface="Arial"/>
            </a:rPr>
            <a:t>"base"</a:t>
          </a:r>
          <a:r>
            <a:rPr lang="en-GB" sz="1000" b="0" i="0" u="none" strike="noStrike" baseline="0">
              <a:solidFill>
                <a:srgbClr val="000000"/>
              </a:solidFill>
              <a:latin typeface="Arial"/>
              <a:cs typeface="Arial"/>
            </a:rPr>
            <a:t> value.  The MSA </a:t>
          </a:r>
          <a:r>
            <a:rPr lang="en-GB" sz="1000" b="0" i="0" u="none" strike="noStrike" baseline="0">
              <a:solidFill>
                <a:srgbClr val="339933"/>
              </a:solidFill>
              <a:latin typeface="Arial"/>
              <a:cs typeface="Arial"/>
            </a:rPr>
            <a:t>base</a:t>
          </a:r>
          <a:r>
            <a:rPr lang="en-GB" sz="1000" b="0" i="0" u="none" strike="noStrike" baseline="0">
              <a:solidFill>
                <a:srgbClr val="000000"/>
              </a:solidFill>
              <a:latin typeface="Arial"/>
              <a:cs typeface="Arial"/>
            </a:rPr>
            <a:t> is usually about 5, and the JSA </a:t>
          </a:r>
          <a:r>
            <a:rPr lang="en-GB" sz="1000" b="0" i="0" u="none" strike="noStrike" baseline="0">
              <a:solidFill>
                <a:srgbClr val="339933"/>
              </a:solidFill>
              <a:latin typeface="Arial"/>
              <a:cs typeface="Arial"/>
            </a:rPr>
            <a:t>base</a:t>
          </a:r>
          <a:r>
            <a:rPr lang="en-GB" sz="1000" b="0" i="0" u="none" strike="noStrike" baseline="0">
              <a:solidFill>
                <a:srgbClr val="000000"/>
              </a:solidFill>
              <a:latin typeface="Arial"/>
              <a:cs typeface="Arial"/>
            </a:rPr>
            <a:t> is usually about 15.</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sheeting line is fed in 20 "steps".  You can change the increment of feed (default "Incr" = 12.5) per step to suit your tastes.</a:t>
          </a:r>
        </a:p>
      </xdr:txBody>
    </xdr:sp>
    <xdr:clientData/>
  </xdr:twoCellAnchor>
  <xdr:twoCellAnchor>
    <xdr:from>
      <xdr:col>15</xdr:col>
      <xdr:colOff>129540</xdr:colOff>
      <xdr:row>2</xdr:row>
      <xdr:rowOff>7620</xdr:rowOff>
    </xdr:from>
    <xdr:to>
      <xdr:col>17</xdr:col>
      <xdr:colOff>251460</xdr:colOff>
      <xdr:row>16</xdr:row>
      <xdr:rowOff>106680</xdr:rowOff>
    </xdr:to>
    <xdr:sp macro="" textlink="">
      <xdr:nvSpPr>
        <xdr:cNvPr id="1030" name="Text 2"/>
        <xdr:cNvSpPr txBox="1">
          <a:spLocks noChangeArrowheads="1"/>
        </xdr:cNvSpPr>
      </xdr:nvSpPr>
      <xdr:spPr bwMode="auto">
        <a:xfrm>
          <a:off x="7330440" y="388620"/>
          <a:ext cx="1082040" cy="2232660"/>
        </a:xfrm>
        <a:prstGeom prst="rect">
          <a:avLst/>
        </a:prstGeom>
        <a:solidFill>
          <a:srgbClr val="FFFFFF"/>
        </a:solidFill>
        <a:ln w="9525" cap="flat">
          <a:solidFill>
            <a:srgbClr val="000000"/>
          </a:solidFill>
          <a:prstDash val="solid"/>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Click on the "Graph" tab to see how the sheeting angles change as the sheets are eased.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 think the difference between MSA and JSA should be just a few degrees by the time the jib reaches 45 degrees.</a:t>
          </a:r>
        </a:p>
      </xdr:txBody>
    </xdr:sp>
    <xdr:clientData/>
  </xdr:twoCellAnchor>
  <xdr:twoCellAnchor>
    <xdr:from>
      <xdr:col>15</xdr:col>
      <xdr:colOff>259080</xdr:colOff>
      <xdr:row>30</xdr:row>
      <xdr:rowOff>76200</xdr:rowOff>
    </xdr:from>
    <xdr:to>
      <xdr:col>17</xdr:col>
      <xdr:colOff>91440</xdr:colOff>
      <xdr:row>51</xdr:row>
      <xdr:rowOff>22860</xdr:rowOff>
    </xdr:to>
    <xdr:sp macro="" textlink="">
      <xdr:nvSpPr>
        <xdr:cNvPr id="1031" name="Text 3"/>
        <xdr:cNvSpPr txBox="1">
          <a:spLocks noChangeArrowheads="1"/>
        </xdr:cNvSpPr>
      </xdr:nvSpPr>
      <xdr:spPr bwMode="auto">
        <a:xfrm>
          <a:off x="7459980" y="4777740"/>
          <a:ext cx="792480" cy="3147060"/>
        </a:xfrm>
        <a:prstGeom prst="rect">
          <a:avLst/>
        </a:prstGeom>
        <a:solidFill>
          <a:srgbClr val="FFFFFF"/>
        </a:solidFill>
        <a:ln w="9525" cap="flat">
          <a:solidFill>
            <a:srgbClr val="000000"/>
          </a:solidFill>
          <a:prstDash val="solid"/>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If the flag "</a:t>
          </a:r>
          <a:r>
            <a:rPr lang="en-GB" sz="1000" b="0" i="0" u="none" strike="noStrike" baseline="0">
              <a:solidFill>
                <a:srgbClr val="FF0000"/>
              </a:solidFill>
              <a:latin typeface="Arial"/>
              <a:cs typeface="Arial"/>
            </a:rPr>
            <a:t>OFF</a:t>
          </a:r>
          <a:r>
            <a:rPr lang="en-GB" sz="1000" b="0" i="0" u="none" strike="noStrike" baseline="0">
              <a:solidFill>
                <a:srgbClr val="000000"/>
              </a:solidFill>
              <a:latin typeface="Arial"/>
              <a:cs typeface="Arial"/>
            </a:rPr>
            <a:t>" appears, the 'Start' value of the sheeting feed does not yield the desired 'Base' sheeting angle.</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Something isn't quite right.  If the difference is small, less than 1 degree, then no matter...</a:t>
          </a:r>
        </a:p>
      </xdr:txBody>
    </xdr:sp>
    <xdr:clientData/>
  </xdr:twoCellAnchor>
  <xdr:twoCellAnchor>
    <xdr:from>
      <xdr:col>7</xdr:col>
      <xdr:colOff>228600</xdr:colOff>
      <xdr:row>2</xdr:row>
      <xdr:rowOff>7620</xdr:rowOff>
    </xdr:from>
    <xdr:to>
      <xdr:col>14</xdr:col>
      <xdr:colOff>434340</xdr:colOff>
      <xdr:row>16</xdr:row>
      <xdr:rowOff>91440</xdr:rowOff>
    </xdr:to>
    <xdr:sp macro="" textlink="">
      <xdr:nvSpPr>
        <xdr:cNvPr id="1032" name="Text 4"/>
        <xdr:cNvSpPr txBox="1">
          <a:spLocks noChangeArrowheads="1"/>
        </xdr:cNvSpPr>
      </xdr:nvSpPr>
      <xdr:spPr bwMode="auto">
        <a:xfrm>
          <a:off x="3589020" y="388620"/>
          <a:ext cx="3566160" cy="2217420"/>
        </a:xfrm>
        <a:prstGeom prst="rect">
          <a:avLst/>
        </a:prstGeom>
        <a:solidFill>
          <a:srgbClr val="FFFFFF"/>
        </a:solidFill>
        <a:ln w="9525" cap="flat">
          <a:solidFill>
            <a:srgbClr val="000000"/>
          </a:solidFill>
          <a:prstDash val="solid"/>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By entering the required rig #, the spreadsheet picks up the right set of standard IOM jib measurements, and, with your particular jib pivot offset specified in the yellow cells, calculates values it needs.  For interest, the offset % is shown.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these supplied rig values don't suit you (they are good for IOM jibs only), pop your own in...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value of "Tack" is the tack angle "T", and the value of "Pivot" is the pivot angle, as illustrated in the Web page diagram.</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"effective" jib sheeting radius, due to the inclination of the pivot, is shown as "r".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297180</xdr:colOff>
      <xdr:row>25</xdr:row>
      <xdr:rowOff>38100</xdr:rowOff>
    </xdr:from>
    <xdr:to>
      <xdr:col>8</xdr:col>
      <xdr:colOff>114300</xdr:colOff>
      <xdr:row>27</xdr:row>
      <xdr:rowOff>137160</xdr:rowOff>
    </xdr:to>
    <xdr:sp macro="" textlink="">
      <xdr:nvSpPr>
        <xdr:cNvPr id="2063" name="Text 2"/>
        <xdr:cNvSpPr txBox="1">
          <a:spLocks noChangeArrowheads="1"/>
        </xdr:cNvSpPr>
      </xdr:nvSpPr>
      <xdr:spPr bwMode="auto">
        <a:xfrm>
          <a:off x="1478280" y="3794760"/>
          <a:ext cx="2689860" cy="403860"/>
        </a:xfrm>
        <a:prstGeom prst="rect">
          <a:avLst/>
        </a:prstGeom>
        <a:solidFill>
          <a:srgbClr val="FFFFFF"/>
        </a:solidFill>
        <a:ln w="9525" cap="flat">
          <a:solidFill>
            <a:srgbClr val="000000"/>
          </a:solidFill>
          <a:prstDash val="solid"/>
          <a:miter lim="800000"/>
          <a:headEnd/>
          <a:tailEnd/>
        </a:ln>
      </xdr:spPr>
      <xdr:txBody>
        <a:bodyPr vertOverflow="clip" wrap="square" lIns="36576" tIns="27432" rIns="0" bIns="0" anchor="t" upright="1"/>
        <a:lstStyle/>
        <a:p>
          <a:pPr algn="l" rtl="0">
            <a:defRPr sz="1000"/>
          </a:pPr>
          <a:r>
            <a:rPr lang="en-GB" sz="1000" b="0" i="0" u="none" strike="noStrike" baseline="0">
              <a:solidFill>
                <a:srgbClr val="000000"/>
              </a:solidFill>
              <a:latin typeface="Arial"/>
              <a:cs typeface="Arial"/>
            </a:rPr>
            <a:t>The graph won't plot MSA values greater than this value.  Change it to suit.</a:t>
          </a:r>
        </a:p>
      </xdr:txBody>
    </xdr:sp>
    <xdr:clientData/>
  </xdr:twoCellAnchor>
  <xdr:twoCellAnchor>
    <xdr:from>
      <xdr:col>3</xdr:col>
      <xdr:colOff>243840</xdr:colOff>
      <xdr:row>0</xdr:row>
      <xdr:rowOff>83820</xdr:rowOff>
    </xdr:from>
    <xdr:to>
      <xdr:col>12</xdr:col>
      <xdr:colOff>342900</xdr:colOff>
      <xdr:row>22</xdr:row>
      <xdr:rowOff>137160</xdr:rowOff>
    </xdr:to>
    <xdr:graphicFrame macro="">
      <xdr:nvGraphicFramePr>
        <xdr:cNvPr id="20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22860</xdr:rowOff>
    </xdr:from>
    <xdr:to>
      <xdr:col>1</xdr:col>
      <xdr:colOff>0</xdr:colOff>
      <xdr:row>43</xdr:row>
      <xdr:rowOff>22860</xdr:rowOff>
    </xdr:to>
    <xdr:sp macro="" textlink="">
      <xdr:nvSpPr>
        <xdr:cNvPr id="2065" name="Line 4"/>
        <xdr:cNvSpPr>
          <a:spLocks noChangeShapeType="1"/>
        </xdr:cNvSpPr>
      </xdr:nvSpPr>
      <xdr:spPr bwMode="auto">
        <a:xfrm>
          <a:off x="373380" y="4389120"/>
          <a:ext cx="0" cy="2133600"/>
        </a:xfrm>
        <a:prstGeom prst="line">
          <a:avLst/>
        </a:prstGeom>
        <a:noFill/>
        <a:ln w="24765" cap="flat">
          <a:solidFill>
            <a:srgbClr val="000000"/>
          </a:solidFill>
          <a:prstDash val="solid"/>
          <a:round/>
          <a:headEnd/>
          <a:tailEnd type="none" w="med" len="med"/>
        </a:ln>
      </xdr:spPr>
    </xdr:sp>
    <xdr:clientData/>
  </xdr:twoCellAnchor>
  <xdr:twoCellAnchor>
    <xdr:from>
      <xdr:col>1</xdr:col>
      <xdr:colOff>0</xdr:colOff>
      <xdr:row>38</xdr:row>
      <xdr:rowOff>0</xdr:rowOff>
    </xdr:from>
    <xdr:to>
      <xdr:col>6</xdr:col>
      <xdr:colOff>7620</xdr:colOff>
      <xdr:row>38</xdr:row>
      <xdr:rowOff>0</xdr:rowOff>
    </xdr:to>
    <xdr:sp macro="" textlink="">
      <xdr:nvSpPr>
        <xdr:cNvPr id="2066" name="Line 6"/>
        <xdr:cNvSpPr>
          <a:spLocks noChangeShapeType="1"/>
        </xdr:cNvSpPr>
      </xdr:nvSpPr>
      <xdr:spPr bwMode="auto">
        <a:xfrm>
          <a:off x="373380" y="5737860"/>
          <a:ext cx="2453640" cy="0"/>
        </a:xfrm>
        <a:prstGeom prst="line">
          <a:avLst/>
        </a:prstGeom>
        <a:noFill/>
        <a:ln w="24765" cap="flat">
          <a:solidFill>
            <a:srgbClr val="000000"/>
          </a:solidFill>
          <a:prstDash val="solid"/>
          <a:round/>
          <a:headEnd/>
          <a:tailEnd type="none" w="med" len="med"/>
        </a:ln>
      </xdr:spPr>
    </xdr:sp>
    <xdr:clientData/>
  </xdr:twoCellAnchor>
  <xdr:twoCellAnchor>
    <xdr:from>
      <xdr:col>4</xdr:col>
      <xdr:colOff>457200</xdr:colOff>
      <xdr:row>38</xdr:row>
      <xdr:rowOff>0</xdr:rowOff>
    </xdr:from>
    <xdr:to>
      <xdr:col>4</xdr:col>
      <xdr:colOff>541020</xdr:colOff>
      <xdr:row>38</xdr:row>
      <xdr:rowOff>76200</xdr:rowOff>
    </xdr:to>
    <xdr:sp macro="" textlink="">
      <xdr:nvSpPr>
        <xdr:cNvPr id="2067" name="Oval 8"/>
        <xdr:cNvSpPr>
          <a:spLocks noChangeArrowheads="1"/>
        </xdr:cNvSpPr>
      </xdr:nvSpPr>
      <xdr:spPr bwMode="auto">
        <a:xfrm>
          <a:off x="2042160" y="5737860"/>
          <a:ext cx="83820" cy="76200"/>
        </a:xfrm>
        <a:prstGeom prst="ellipse">
          <a:avLst/>
        </a:prstGeom>
        <a:solidFill>
          <a:srgbClr val="FFFFFF"/>
        </a:solidFill>
        <a:ln w="24765" cap="flat">
          <a:solidFill>
            <a:srgbClr val="000000"/>
          </a:solidFill>
          <a:prstDash val="solid"/>
          <a:round/>
          <a:headEnd/>
          <a:tailEnd/>
        </a:ln>
      </xdr:spPr>
    </xdr:sp>
    <xdr:clientData/>
  </xdr:twoCellAnchor>
  <xdr:twoCellAnchor>
    <xdr:from>
      <xdr:col>4</xdr:col>
      <xdr:colOff>502920</xdr:colOff>
      <xdr:row>38</xdr:row>
      <xdr:rowOff>99060</xdr:rowOff>
    </xdr:from>
    <xdr:to>
      <xdr:col>5</xdr:col>
      <xdr:colOff>7620</xdr:colOff>
      <xdr:row>41</xdr:row>
      <xdr:rowOff>22860</xdr:rowOff>
    </xdr:to>
    <xdr:sp macro="" textlink="">
      <xdr:nvSpPr>
        <xdr:cNvPr id="2068" name="Line 9"/>
        <xdr:cNvSpPr>
          <a:spLocks noChangeShapeType="1"/>
        </xdr:cNvSpPr>
      </xdr:nvSpPr>
      <xdr:spPr bwMode="auto">
        <a:xfrm>
          <a:off x="2087880" y="5836920"/>
          <a:ext cx="121920" cy="381000"/>
        </a:xfrm>
        <a:prstGeom prst="line">
          <a:avLst/>
        </a:prstGeom>
        <a:noFill/>
        <a:ln w="24765" cap="flat">
          <a:solidFill>
            <a:srgbClr val="000000"/>
          </a:solidFill>
          <a:prstDash val="dash"/>
          <a:round/>
          <a:headEnd/>
          <a:tailEnd type="none" w="med" len="med"/>
        </a:ln>
      </xdr:spPr>
    </xdr:sp>
    <xdr:clientData/>
  </xdr:twoCellAnchor>
  <xdr:twoCellAnchor>
    <xdr:from>
      <xdr:col>1</xdr:col>
      <xdr:colOff>83820</xdr:colOff>
      <xdr:row>37</xdr:row>
      <xdr:rowOff>0</xdr:rowOff>
    </xdr:from>
    <xdr:to>
      <xdr:col>4</xdr:col>
      <xdr:colOff>457200</xdr:colOff>
      <xdr:row>37</xdr:row>
      <xdr:rowOff>0</xdr:rowOff>
    </xdr:to>
    <xdr:sp macro="" textlink="">
      <xdr:nvSpPr>
        <xdr:cNvPr id="2069" name="Line 10"/>
        <xdr:cNvSpPr>
          <a:spLocks noChangeShapeType="1"/>
        </xdr:cNvSpPr>
      </xdr:nvSpPr>
      <xdr:spPr bwMode="auto">
        <a:xfrm>
          <a:off x="457200" y="5585460"/>
          <a:ext cx="1584960" cy="0"/>
        </a:xfrm>
        <a:prstGeom prst="line">
          <a:avLst/>
        </a:prstGeom>
        <a:noFill/>
        <a:ln w="9525" cap="flat">
          <a:solidFill>
            <a:srgbClr val="000000"/>
          </a:solidFill>
          <a:prstDash val="solid"/>
          <a:round/>
          <a:headEnd type="triangle" w="med" len="med"/>
          <a:tailEnd type="triangle" w="med" len="med"/>
        </a:ln>
      </xdr:spPr>
    </xdr:sp>
    <xdr:clientData/>
  </xdr:twoCellAnchor>
  <xdr:twoCellAnchor>
    <xdr:from>
      <xdr:col>5</xdr:col>
      <xdr:colOff>502920</xdr:colOff>
      <xdr:row>38</xdr:row>
      <xdr:rowOff>22860</xdr:rowOff>
    </xdr:from>
    <xdr:to>
      <xdr:col>5</xdr:col>
      <xdr:colOff>502920</xdr:colOff>
      <xdr:row>40</xdr:row>
      <xdr:rowOff>114300</xdr:rowOff>
    </xdr:to>
    <xdr:sp macro="" textlink="">
      <xdr:nvSpPr>
        <xdr:cNvPr id="2070" name="Line 11"/>
        <xdr:cNvSpPr>
          <a:spLocks noChangeShapeType="1"/>
        </xdr:cNvSpPr>
      </xdr:nvSpPr>
      <xdr:spPr bwMode="auto">
        <a:xfrm>
          <a:off x="2705100" y="5760720"/>
          <a:ext cx="0" cy="396240"/>
        </a:xfrm>
        <a:prstGeom prst="line">
          <a:avLst/>
        </a:prstGeom>
        <a:noFill/>
        <a:ln w="9525" cap="flat">
          <a:solidFill>
            <a:srgbClr val="000000"/>
          </a:solidFill>
          <a:prstDash val="solid"/>
          <a:round/>
          <a:headEnd type="triangle" w="med" len="med"/>
          <a:tailEnd type="triangle" w="med" len="med"/>
        </a:ln>
      </xdr:spPr>
    </xdr:sp>
    <xdr:clientData/>
  </xdr:twoCellAnchor>
  <xdr:twoCellAnchor>
    <xdr:from>
      <xdr:col>1</xdr:col>
      <xdr:colOff>106680</xdr:colOff>
      <xdr:row>41</xdr:row>
      <xdr:rowOff>60960</xdr:rowOff>
    </xdr:from>
    <xdr:to>
      <xdr:col>4</xdr:col>
      <xdr:colOff>541020</xdr:colOff>
      <xdr:row>41</xdr:row>
      <xdr:rowOff>60960</xdr:rowOff>
    </xdr:to>
    <xdr:sp macro="" textlink="">
      <xdr:nvSpPr>
        <xdr:cNvPr id="2071" name="Line 12"/>
        <xdr:cNvSpPr>
          <a:spLocks noChangeShapeType="1"/>
        </xdr:cNvSpPr>
      </xdr:nvSpPr>
      <xdr:spPr bwMode="auto">
        <a:xfrm>
          <a:off x="480060" y="6256020"/>
          <a:ext cx="1645920" cy="0"/>
        </a:xfrm>
        <a:prstGeom prst="line">
          <a:avLst/>
        </a:prstGeom>
        <a:noFill/>
        <a:ln w="9525" cap="flat">
          <a:solidFill>
            <a:srgbClr val="000000"/>
          </a:solidFill>
          <a:prstDash val="solid"/>
          <a:round/>
          <a:headEnd type="triangle" w="med" len="med"/>
          <a:tailEnd type="triangle" w="med" len="med"/>
        </a:ln>
      </xdr:spPr>
    </xdr:sp>
    <xdr:clientData/>
  </xdr:twoCellAnchor>
  <xdr:twoCellAnchor>
    <xdr:from>
      <xdr:col>0</xdr:col>
      <xdr:colOff>358140</xdr:colOff>
      <xdr:row>38</xdr:row>
      <xdr:rowOff>0</xdr:rowOff>
    </xdr:from>
    <xdr:to>
      <xdr:col>3</xdr:col>
      <xdr:colOff>152400</xdr:colOff>
      <xdr:row>41</xdr:row>
      <xdr:rowOff>38100</xdr:rowOff>
    </xdr:to>
    <xdr:sp macro="" textlink="">
      <xdr:nvSpPr>
        <xdr:cNvPr id="2072" name="Line 13"/>
        <xdr:cNvSpPr>
          <a:spLocks noChangeShapeType="1"/>
        </xdr:cNvSpPr>
      </xdr:nvSpPr>
      <xdr:spPr bwMode="auto">
        <a:xfrm flipV="1">
          <a:off x="358140" y="5737860"/>
          <a:ext cx="975360" cy="495300"/>
        </a:xfrm>
        <a:prstGeom prst="line">
          <a:avLst/>
        </a:prstGeom>
        <a:noFill/>
        <a:ln w="24765" cap="flat">
          <a:solidFill>
            <a:srgbClr val="000000"/>
          </a:solidFill>
          <a:prstDash val="solid"/>
          <a:round/>
          <a:headEnd/>
          <a:tailEnd type="none" w="med" len="med"/>
        </a:ln>
      </xdr:spPr>
    </xdr:sp>
    <xdr:clientData/>
  </xdr:twoCellAnchor>
  <xdr:twoCellAnchor>
    <xdr:from>
      <xdr:col>5</xdr:col>
      <xdr:colOff>7620</xdr:colOff>
      <xdr:row>41</xdr:row>
      <xdr:rowOff>22860</xdr:rowOff>
    </xdr:from>
    <xdr:to>
      <xdr:col>5</xdr:col>
      <xdr:colOff>7620</xdr:colOff>
      <xdr:row>43</xdr:row>
      <xdr:rowOff>22860</xdr:rowOff>
    </xdr:to>
    <xdr:sp macro="" textlink="">
      <xdr:nvSpPr>
        <xdr:cNvPr id="2073" name="Line 14"/>
        <xdr:cNvSpPr>
          <a:spLocks noChangeShapeType="1"/>
        </xdr:cNvSpPr>
      </xdr:nvSpPr>
      <xdr:spPr bwMode="auto">
        <a:xfrm>
          <a:off x="2209800" y="6217920"/>
          <a:ext cx="0" cy="304800"/>
        </a:xfrm>
        <a:prstGeom prst="line">
          <a:avLst/>
        </a:prstGeom>
        <a:noFill/>
        <a:ln w="24765" cap="flat">
          <a:solidFill>
            <a:srgbClr val="000000"/>
          </a:solidFill>
          <a:prstDash val="solid"/>
          <a:round/>
          <a:headEnd/>
          <a:tailEnd type="none" w="med" len="med"/>
        </a:ln>
      </xdr:spPr>
    </xdr:sp>
    <xdr:clientData/>
  </xdr:twoCellAnchor>
</xdr:wsDr>
</file>

<file path=xl/drawings/drawing3.xml><?xml version="1.0" encoding="utf-8"?>
<c:userShapes xmlns:c="http://schemas.openxmlformats.org/drawingml/2006/chart">
  <cdr:relSizeAnchor xmlns:cdr="http://schemas.openxmlformats.org/drawingml/2006/chartDrawing">
    <cdr:from>
      <cdr:x>0.11935</cdr:x>
      <cdr:y>0.539</cdr:y>
    </cdr:from>
    <cdr:to>
      <cdr:x>0.85099</cdr:x>
      <cdr:y>0.539</cdr:y>
    </cdr:to>
    <cdr:sp macro="" textlink="">
      <cdr:nvSpPr>
        <cdr:cNvPr id="3073" name="Line 1"/>
        <cdr:cNvSpPr>
          <a:spLocks xmlns:a="http://schemas.openxmlformats.org/drawingml/2006/main" noChangeShapeType="1"/>
        </cdr:cNvSpPr>
      </cdr:nvSpPr>
      <cdr:spPr bwMode="auto">
        <a:xfrm xmlns:a="http://schemas.openxmlformats.org/drawingml/2006/main">
          <a:off x="647726" y="1845683"/>
          <a:ext cx="3986184" cy="0"/>
        </a:xfrm>
        <a:prstGeom xmlns:a="http://schemas.openxmlformats.org/drawingml/2006/main" prst="line">
          <a:avLst/>
        </a:prstGeom>
        <a:noFill xmlns:a="http://schemas.openxmlformats.org/drawingml/2006/main"/>
        <a:ln xmlns:a="http://schemas.openxmlformats.org/drawingml/2006/main" w="9525" cap="flat">
          <a:solidFill>
            <a:srgbClr val="000000"/>
          </a:solidFill>
          <a:prstDash val="solid"/>
          <a:round/>
          <a:headEnd/>
          <a:tailEnd type="none" w="med" len="me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ransitionEvaluation="1"/>
  <dimension ref="A1:R57"/>
  <sheetViews>
    <sheetView showGridLines="0" tabSelected="1" topLeftCell="A3" workbookViewId="0">
      <selection activeCell="B23" sqref="B23"/>
    </sheetView>
  </sheetViews>
  <sheetFormatPr defaultColWidth="8.77734375" defaultRowHeight="12"/>
  <cols>
    <col min="1" max="18" width="7" customWidth="1"/>
  </cols>
  <sheetData>
    <row r="1" spans="1:5" ht="15">
      <c r="A1" s="25" t="s">
        <v>0</v>
      </c>
      <c r="E1" t="s">
        <v>1</v>
      </c>
    </row>
    <row r="2" spans="1:5" ht="15">
      <c r="A2" s="25"/>
      <c r="E2" t="s">
        <v>2</v>
      </c>
    </row>
    <row r="3" spans="1:5">
      <c r="A3" s="1"/>
    </row>
    <row r="4" spans="1:5">
      <c r="A4" s="1"/>
    </row>
    <row r="5" spans="1:5">
      <c r="A5" s="1"/>
    </row>
    <row r="6" spans="1:5">
      <c r="A6" s="1"/>
    </row>
    <row r="7" spans="1:5">
      <c r="A7" s="1"/>
    </row>
    <row r="8" spans="1:5">
      <c r="A8" s="1"/>
    </row>
    <row r="9" spans="1:5">
      <c r="A9" s="1"/>
    </row>
    <row r="10" spans="1:5">
      <c r="A10" s="1"/>
    </row>
    <row r="11" spans="1:5">
      <c r="A11" s="1"/>
    </row>
    <row r="12" spans="1:5">
      <c r="A12" s="1"/>
    </row>
    <row r="13" spans="1:5">
      <c r="A13" s="1"/>
    </row>
    <row r="14" spans="1:5">
      <c r="A14" s="1"/>
    </row>
    <row r="15" spans="1:5">
      <c r="A15" s="1"/>
    </row>
    <row r="16" spans="1:5">
      <c r="A16" s="1"/>
    </row>
    <row r="17" spans="1:18" ht="12.6" thickBot="1"/>
    <row r="18" spans="1:18" ht="15.6" thickBot="1">
      <c r="A18" s="26" t="s">
        <v>3</v>
      </c>
      <c r="B18" s="27"/>
      <c r="C18" s="27"/>
      <c r="D18" s="27"/>
      <c r="E18" s="27"/>
      <c r="F18" s="28"/>
      <c r="H18" s="26" t="s">
        <v>4</v>
      </c>
      <c r="I18" s="27"/>
      <c r="J18" s="27"/>
      <c r="K18" s="27"/>
      <c r="L18" s="27"/>
      <c r="M18" s="28"/>
      <c r="O18" s="9" t="s">
        <v>5</v>
      </c>
      <c r="P18" s="9" t="s">
        <v>5</v>
      </c>
      <c r="Q18" s="9" t="s">
        <v>5</v>
      </c>
    </row>
    <row r="19" spans="1:18">
      <c r="D19" s="10"/>
      <c r="E19" s="11"/>
      <c r="H19" s="2" t="s">
        <v>6</v>
      </c>
      <c r="I19" s="14">
        <v>1</v>
      </c>
      <c r="O19" s="3">
        <v>1</v>
      </c>
      <c r="P19" s="3">
        <v>2</v>
      </c>
      <c r="Q19" s="3">
        <v>3</v>
      </c>
    </row>
    <row r="20" spans="1:18">
      <c r="A20" s="2" t="s">
        <v>7</v>
      </c>
      <c r="B20" s="16">
        <v>140</v>
      </c>
      <c r="C20" t="s">
        <v>8</v>
      </c>
      <c r="D20" s="23" t="str">
        <f>IF(MainMinR&gt;MainMaxR,"Error!","OK")</f>
        <v>OK</v>
      </c>
      <c r="E20" s="11"/>
      <c r="H20" s="2" t="s">
        <v>7</v>
      </c>
      <c r="I20" s="16">
        <v>210</v>
      </c>
      <c r="J20" t="s">
        <v>8</v>
      </c>
      <c r="K20" s="23" t="str">
        <f>IF(JibMinR&gt;JibMaxR,"Error!","OK")</f>
        <v>OK</v>
      </c>
      <c r="N20" s="2" t="s">
        <v>9</v>
      </c>
      <c r="O20" s="3">
        <v>1330</v>
      </c>
      <c r="P20" s="3">
        <v>990</v>
      </c>
      <c r="Q20" s="3">
        <v>740</v>
      </c>
      <c r="R20" t="s">
        <v>8</v>
      </c>
    </row>
    <row r="21" spans="1:18">
      <c r="A21" s="2" t="s">
        <v>10</v>
      </c>
      <c r="B21" s="16">
        <v>140</v>
      </c>
      <c r="C21" t="s">
        <v>8</v>
      </c>
      <c r="D21" s="23" t="str">
        <f>IF(MainMinR&gt;MainMaxR,"MinR &gt; MaxR","OK")</f>
        <v>OK</v>
      </c>
      <c r="E21" s="11"/>
      <c r="H21" s="2" t="s">
        <v>10</v>
      </c>
      <c r="I21" s="16">
        <v>210</v>
      </c>
      <c r="J21" t="s">
        <v>8</v>
      </c>
      <c r="K21" s="23" t="str">
        <f>IF(JibMinR&gt;JibMaxR,"MinR &gt; MaxR","OK")</f>
        <v>OK</v>
      </c>
      <c r="N21" s="2" t="s">
        <v>11</v>
      </c>
      <c r="O21" s="3">
        <v>1255</v>
      </c>
      <c r="P21" s="3">
        <v>910</v>
      </c>
      <c r="Q21" s="3">
        <v>665</v>
      </c>
      <c r="R21" t="s">
        <v>8</v>
      </c>
    </row>
    <row r="22" spans="1:18">
      <c r="A22" s="2" t="s">
        <v>12</v>
      </c>
      <c r="B22" s="8">
        <v>170</v>
      </c>
      <c r="C22" t="s">
        <v>8</v>
      </c>
      <c r="D22" s="10"/>
      <c r="E22" s="11"/>
      <c r="H22" s="2" t="s">
        <v>12</v>
      </c>
      <c r="I22" s="8">
        <v>250</v>
      </c>
      <c r="J22" t="s">
        <v>8</v>
      </c>
      <c r="K22" s="2" t="s">
        <v>13</v>
      </c>
      <c r="L22" s="3">
        <f>I22*SIN(HLOOKUP(I19,N19:P29,11)*PI()/180)</f>
        <v>243.65178046815274</v>
      </c>
      <c r="N22" s="2" t="s">
        <v>14</v>
      </c>
      <c r="O22" s="3">
        <v>385</v>
      </c>
      <c r="P22" s="3">
        <v>350</v>
      </c>
      <c r="Q22" s="3">
        <v>300</v>
      </c>
      <c r="R22" t="s">
        <v>8</v>
      </c>
    </row>
    <row r="23" spans="1:18">
      <c r="A23" s="2" t="s">
        <v>15</v>
      </c>
      <c r="B23" s="8">
        <v>0</v>
      </c>
      <c r="C23" t="s">
        <v>8</v>
      </c>
      <c r="D23" s="10"/>
      <c r="E23" s="11"/>
      <c r="H23" s="2" t="s">
        <v>15</v>
      </c>
      <c r="I23" s="8">
        <v>40</v>
      </c>
      <c r="J23" t="s">
        <v>8</v>
      </c>
      <c r="K23" s="2" t="s">
        <v>16</v>
      </c>
      <c r="L23" s="3">
        <f>I23*SIN(HLOOKUP(I19,N19:P29,11)*PI()/180)</f>
        <v>38.984284874904432</v>
      </c>
      <c r="N23" s="2" t="s">
        <v>17</v>
      </c>
      <c r="O23" s="14">
        <v>80</v>
      </c>
      <c r="P23" s="14">
        <v>70</v>
      </c>
      <c r="Q23" s="14">
        <v>60</v>
      </c>
      <c r="R23" t="s">
        <v>8</v>
      </c>
    </row>
    <row r="24" spans="1:18">
      <c r="A24" s="2" t="s">
        <v>18</v>
      </c>
      <c r="B24" s="22">
        <f>IF(MainMaxR&lt;MainF,MainMaxR,IF(MainMinR&gt;MainF,MainMinR,MainF))</f>
        <v>140</v>
      </c>
      <c r="C24" t="s">
        <v>8</v>
      </c>
      <c r="H24" s="2"/>
      <c r="I24" s="22"/>
      <c r="K24" s="2" t="s">
        <v>19</v>
      </c>
      <c r="L24">
        <f>I20*SIN(PI()*HLOOKUP(I19,N19:P29,11)/180)</f>
        <v>204.66749559324828</v>
      </c>
      <c r="N24" s="2" t="s">
        <v>20</v>
      </c>
      <c r="O24" s="4">
        <f>O23/O22</f>
        <v>0.20779220779220781</v>
      </c>
      <c r="P24" s="4">
        <f>P23/P22</f>
        <v>0.2</v>
      </c>
      <c r="Q24" s="4">
        <f>Q23/Q22</f>
        <v>0.2</v>
      </c>
    </row>
    <row r="25" spans="1:18">
      <c r="E25" s="11"/>
      <c r="K25" s="2" t="s">
        <v>21</v>
      </c>
      <c r="L25">
        <f>I21*SIN(PI()*HLOOKUP(I19,N19:P29,11)/180)</f>
        <v>204.66749559324828</v>
      </c>
      <c r="N25" s="2" t="s">
        <v>22</v>
      </c>
      <c r="O25" s="5">
        <f>ACOS(((O20^2+(O22-20)^2-O21^2))/(2*O20*(O22-20)))*180/PI()</f>
        <v>70.31164500077395</v>
      </c>
      <c r="P25" s="5">
        <f>ACOS(((P20^2+(P22-20)^2-P21^2))/(2*P20*(P22-20)))*180/PI()</f>
        <v>66.465825197449561</v>
      </c>
      <c r="Q25" s="5">
        <f>ACOS(((Q20^2+(Q22-20)^2-Q21^2))/(2*Q20*(Q22-20)))*180/PI()</f>
        <v>63.674349512757964</v>
      </c>
      <c r="R25" t="s">
        <v>23</v>
      </c>
    </row>
    <row r="26" spans="1:18">
      <c r="A26" s="2" t="s">
        <v>24</v>
      </c>
      <c r="B26" s="14">
        <v>12.5</v>
      </c>
      <c r="C26" t="s">
        <v>8</v>
      </c>
      <c r="I26" s="3"/>
      <c r="K26" s="2" t="s">
        <v>25</v>
      </c>
      <c r="L26" s="3">
        <f>IF(JibMaxR&lt;JibF,JibMaxR,IF(JibMinR&gt;JibF,JibMinR,JibF))</f>
        <v>204.66749559324828</v>
      </c>
      <c r="N26" s="2" t="s">
        <v>26</v>
      </c>
      <c r="O26" s="5">
        <f>ACOS((O21^2+(O22-20)^2-O20^2)/(2*O21*(O22-20)))*180/PI()</f>
        <v>93.795811029105835</v>
      </c>
      <c r="P26" s="5">
        <f>ACOS((P21^2+(P22-20)^2-P20^2)/(2*P21*(P22-20)))*180/PI()</f>
        <v>94.115172360098299</v>
      </c>
      <c r="Q26" s="5">
        <f>ACOS((Q21^2+(Q22-20)^2-Q20^2)/(2*Q21*(Q22-20)))*180/PI()</f>
        <v>94.153889411594747</v>
      </c>
      <c r="R26" t="s">
        <v>23</v>
      </c>
    </row>
    <row r="27" spans="1:18">
      <c r="A27" s="18" t="s">
        <v>27</v>
      </c>
      <c r="B27" s="21">
        <v>5</v>
      </c>
      <c r="C27" t="s">
        <v>28</v>
      </c>
      <c r="D27" s="12"/>
      <c r="E27" s="12"/>
      <c r="H27" s="18" t="s">
        <v>27</v>
      </c>
      <c r="I27" s="21">
        <v>15</v>
      </c>
      <c r="J27" t="s">
        <v>28</v>
      </c>
      <c r="N27" s="2" t="s">
        <v>29</v>
      </c>
      <c r="O27" s="6">
        <f>O20-(O20-O21)*(1-O23/O22)</f>
        <v>1270.5844155844156</v>
      </c>
      <c r="P27" s="6">
        <f>P20-(P20-P21)*(1-P23/P22)</f>
        <v>926</v>
      </c>
      <c r="Q27" s="6">
        <f>Q20-(Q20-Q21)*(1-Q23/Q22)</f>
        <v>680</v>
      </c>
      <c r="R27" t="s">
        <v>8</v>
      </c>
    </row>
    <row r="28" spans="1:18">
      <c r="A28" s="17" t="s">
        <v>30</v>
      </c>
      <c r="B28" s="24">
        <f>SQRT(MainHt^2+(MainF-MainR*COS(PI()*MainBase/180))^2+(MainR*SIN(PI()*MainBase/180))^2)</f>
        <v>32.880577410272345</v>
      </c>
      <c r="C28" t="s">
        <v>8</v>
      </c>
      <c r="H28" s="17" t="s">
        <v>30</v>
      </c>
      <c r="I28" s="24">
        <f>SQRT(JibHt^2+(JibF-JibR*COS(PI()*JibBase/180))^2+(JibR*SIN(PI()*JibBase/180))^2)</f>
        <v>80.236796074016965</v>
      </c>
      <c r="J28" t="s">
        <v>8</v>
      </c>
      <c r="N28" s="2" t="s">
        <v>31</v>
      </c>
      <c r="O28" s="6">
        <f>O22-O23</f>
        <v>305</v>
      </c>
      <c r="P28" s="6">
        <f>P22-P23</f>
        <v>280</v>
      </c>
      <c r="Q28" s="6">
        <f>Q22-Q23</f>
        <v>240</v>
      </c>
      <c r="R28" t="s">
        <v>8</v>
      </c>
    </row>
    <row r="29" spans="1:18">
      <c r="N29" s="2" t="s">
        <v>32</v>
      </c>
      <c r="O29" s="5">
        <f>90-180*ACOS((O27^2+O21^2-(O28-20)^2)/(2*O27*O21))/PI()</f>
        <v>77.060517673087901</v>
      </c>
      <c r="P29" s="5">
        <f>90-180*ACOS((P27^2+P21^2-(P28-20)^2)/(2*P27*P21))/PI()</f>
        <v>73.748150922704085</v>
      </c>
      <c r="Q29" s="5">
        <f>90-180*ACOS((Q27^2+Q21^2-(Q28-20)^2)/(2*Q27*Q21))/PI()</f>
        <v>71.214829864716719</v>
      </c>
      <c r="R29" t="s">
        <v>23</v>
      </c>
    </row>
    <row r="30" spans="1:18">
      <c r="A30" s="2" t="s">
        <v>33</v>
      </c>
      <c r="B30" s="2" t="s">
        <v>34</v>
      </c>
      <c r="C30" s="2" t="s">
        <v>35</v>
      </c>
      <c r="D30" s="2" t="s">
        <v>36</v>
      </c>
      <c r="E30" s="2" t="s">
        <v>37</v>
      </c>
      <c r="F30" s="2" t="s">
        <v>38</v>
      </c>
      <c r="G30" s="2" t="s">
        <v>39</v>
      </c>
      <c r="H30" s="2" t="s">
        <v>33</v>
      </c>
      <c r="I30" s="2" t="s">
        <v>34</v>
      </c>
      <c r="J30" s="2" t="s">
        <v>35</v>
      </c>
      <c r="K30" s="2" t="s">
        <v>36</v>
      </c>
      <c r="L30" s="2" t="s">
        <v>37</v>
      </c>
      <c r="M30" s="2" t="s">
        <v>40</v>
      </c>
      <c r="N30" s="2" t="s">
        <v>39</v>
      </c>
      <c r="O30" s="2" t="s">
        <v>41</v>
      </c>
      <c r="P30" s="2"/>
    </row>
    <row r="31" spans="1:18">
      <c r="A31" s="3">
        <v>0</v>
      </c>
      <c r="B31" s="6">
        <f>A31*Incr+MainStart</f>
        <v>32.880577410272345</v>
      </c>
      <c r="C31" s="6">
        <f>SQRT(B31^2-MainHt^2)</f>
        <v>32.880577410272345</v>
      </c>
      <c r="D31" s="20">
        <f>IF(MainF&gt;C31,SQRT(MainF^2-C31^2),0)</f>
        <v>166.78989066837082</v>
      </c>
      <c r="E31" s="6">
        <f>IF(D31&lt;MainMinR,MainMinR,IF(D31&gt;MainMaxR,MainMaxR,D31))</f>
        <v>140</v>
      </c>
      <c r="F31" s="29">
        <f>180*ACOS((E31^2+MainF^2-C31^2)/(2*MainF*E31))/(PI())</f>
        <v>4.9999999999999947</v>
      </c>
      <c r="G31" s="13" t="str">
        <f t="shared" ref="G31:G51" si="0">IF(ABS($B$27-$F$31)&lt;0.1,"","OFF")</f>
        <v/>
      </c>
      <c r="H31" s="3">
        <v>0</v>
      </c>
      <c r="I31" s="6">
        <f>H31*Incr+JibStart</f>
        <v>80.236796074016965</v>
      </c>
      <c r="J31" s="6">
        <f>SQRT(I31^2-JibHt^2)</f>
        <v>70.129658326671475</v>
      </c>
      <c r="K31" s="20">
        <f>IF(JibF&gt;J31,SQRT(JibF^2-J31^2),0)</f>
        <v>233.34099757283377</v>
      </c>
      <c r="L31" s="6">
        <f>IF(K31&lt;JibMinR,JibMinR,IF(K31&gt;JibMaxR,JibMaxR,K31))</f>
        <v>204.66749559324828</v>
      </c>
      <c r="M31" s="29">
        <f>180*ACOS((L31^2+JibF^2-J31^2)/(2*JibF*L31))/(PI())</f>
        <v>14.999999999999982</v>
      </c>
      <c r="N31" s="13" t="str">
        <f t="shared" ref="N31:N51" si="1">IF(ABS($I$27-$M$31)&lt;0.1,"","OFF")</f>
        <v/>
      </c>
      <c r="O31" s="5">
        <f t="shared" ref="O31:O51" si="2">M31-F31</f>
        <v>9.9999999999999876</v>
      </c>
      <c r="P31" s="7"/>
    </row>
    <row r="32" spans="1:18">
      <c r="A32" s="3">
        <v>1</v>
      </c>
      <c r="B32" s="6">
        <f t="shared" ref="B32:B51" si="3">A32*Incr+MainStart</f>
        <v>45.380577410272345</v>
      </c>
      <c r="C32" s="6">
        <f t="shared" ref="C32:C51" si="4">SQRT(B32^2-MainHt^2)</f>
        <v>45.380577410272345</v>
      </c>
      <c r="D32" s="20">
        <f t="shared" ref="D32:D51" si="5">IF(MainF&gt;C32,SQRT(MainF^2-C32^2),0)</f>
        <v>163.8310202431465</v>
      </c>
      <c r="E32" s="6">
        <f t="shared" ref="E32:E51" si="6">IF(D32&lt;MainMinR,MainMinR,IF(D32&gt;MainMaxR,MainMaxR,D32))</f>
        <v>140</v>
      </c>
      <c r="F32" s="29">
        <f t="shared" ref="F32:F51" si="7">180*ACOS((E32^2+MainF^2-C32^2)/(2*MainF*E32))/(PI())</f>
        <v>12.671723229357324</v>
      </c>
      <c r="G32" s="13" t="str">
        <f t="shared" si="0"/>
        <v/>
      </c>
      <c r="H32" s="3">
        <v>1</v>
      </c>
      <c r="I32" s="6">
        <f t="shared" ref="I32:I51" si="8">H32*Incr+JibStart</f>
        <v>92.736796074016965</v>
      </c>
      <c r="J32" s="6">
        <f t="shared" ref="J32:J51" si="9">SQRT(I32^2-JibHt^2)</f>
        <v>84.144749562085607</v>
      </c>
      <c r="K32" s="20">
        <f t="shared" ref="K32:K51" si="10">IF(JibF&gt;J32,SQRT(JibF^2-J32^2),0)</f>
        <v>228.66099633832351</v>
      </c>
      <c r="L32" s="6">
        <f t="shared" ref="L32:L51" si="11">IF(K32&lt;JibMinR,JibMinR,IF(K32&gt;JibMaxR,JibMaxR,K32))</f>
        <v>204.66749559324828</v>
      </c>
      <c r="M32" s="29">
        <f t="shared" ref="M32:M51" si="12">180*ACOS((L32^2+JibF^2-J32^2)/(2*JibF*L32))/(PI())</f>
        <v>19.222574991297446</v>
      </c>
      <c r="N32" s="13" t="str">
        <f t="shared" si="1"/>
        <v/>
      </c>
      <c r="O32" s="5">
        <f t="shared" si="2"/>
        <v>6.5508517619401214</v>
      </c>
      <c r="P32" s="7"/>
    </row>
    <row r="33" spans="1:16">
      <c r="A33" s="3">
        <v>2</v>
      </c>
      <c r="B33" s="6">
        <f t="shared" si="3"/>
        <v>57.880577410272345</v>
      </c>
      <c r="C33" s="6">
        <f t="shared" si="4"/>
        <v>57.880577410272345</v>
      </c>
      <c r="D33" s="20">
        <f t="shared" si="5"/>
        <v>159.84316925866264</v>
      </c>
      <c r="E33" s="6">
        <f t="shared" si="6"/>
        <v>140</v>
      </c>
      <c r="F33" s="29">
        <f t="shared" si="7"/>
        <v>18.46342326026944</v>
      </c>
      <c r="G33" s="13" t="str">
        <f t="shared" si="0"/>
        <v/>
      </c>
      <c r="H33" s="3">
        <v>2</v>
      </c>
      <c r="I33" s="6">
        <f t="shared" si="8"/>
        <v>105.23679607401697</v>
      </c>
      <c r="J33" s="6">
        <f t="shared" si="9"/>
        <v>97.749725220670214</v>
      </c>
      <c r="K33" s="20">
        <f t="shared" si="10"/>
        <v>223.18418703972816</v>
      </c>
      <c r="L33" s="6">
        <f t="shared" si="11"/>
        <v>204.66749559324828</v>
      </c>
      <c r="M33" s="29">
        <f t="shared" si="12"/>
        <v>23.156477232559652</v>
      </c>
      <c r="N33" s="13" t="str">
        <f t="shared" si="1"/>
        <v/>
      </c>
      <c r="O33" s="5">
        <f t="shared" si="2"/>
        <v>4.6930539722902118</v>
      </c>
      <c r="P33" s="7"/>
    </row>
    <row r="34" spans="1:16">
      <c r="A34" s="3">
        <v>3</v>
      </c>
      <c r="B34" s="6">
        <f t="shared" si="3"/>
        <v>70.380577410272338</v>
      </c>
      <c r="C34" s="6">
        <f t="shared" si="4"/>
        <v>70.380577410272338</v>
      </c>
      <c r="D34" s="20">
        <f t="shared" si="5"/>
        <v>154.74680715089622</v>
      </c>
      <c r="E34" s="6">
        <f t="shared" si="6"/>
        <v>140</v>
      </c>
      <c r="F34" s="29">
        <f t="shared" si="7"/>
        <v>23.8164175369246</v>
      </c>
      <c r="G34" s="13" t="str">
        <f t="shared" si="0"/>
        <v/>
      </c>
      <c r="H34" s="3">
        <v>3</v>
      </c>
      <c r="I34" s="6">
        <f t="shared" si="8"/>
        <v>117.73679607401697</v>
      </c>
      <c r="J34" s="6">
        <f t="shared" si="9"/>
        <v>111.09535851045693</v>
      </c>
      <c r="K34" s="20">
        <f t="shared" si="10"/>
        <v>216.85020507883763</v>
      </c>
      <c r="L34" s="6">
        <f t="shared" si="11"/>
        <v>204.66749559324828</v>
      </c>
      <c r="M34" s="29">
        <f t="shared" si="12"/>
        <v>26.939093767346048</v>
      </c>
      <c r="N34" s="13" t="str">
        <f t="shared" si="1"/>
        <v/>
      </c>
      <c r="O34" s="5">
        <f t="shared" si="2"/>
        <v>3.1226762304214475</v>
      </c>
      <c r="P34" s="7"/>
    </row>
    <row r="35" spans="1:16">
      <c r="A35" s="3">
        <v>4</v>
      </c>
      <c r="B35" s="6">
        <f t="shared" si="3"/>
        <v>82.880577410272338</v>
      </c>
      <c r="C35" s="6">
        <f t="shared" si="4"/>
        <v>82.880577410272338</v>
      </c>
      <c r="D35" s="20">
        <f t="shared" si="5"/>
        <v>148.42779351637569</v>
      </c>
      <c r="E35" s="6">
        <f t="shared" si="6"/>
        <v>140</v>
      </c>
      <c r="F35" s="29">
        <f t="shared" si="7"/>
        <v>29.002701614663295</v>
      </c>
      <c r="G35" s="13" t="str">
        <f t="shared" si="0"/>
        <v/>
      </c>
      <c r="H35" s="3">
        <v>4</v>
      </c>
      <c r="I35" s="6">
        <f t="shared" si="8"/>
        <v>130.23679607401698</v>
      </c>
      <c r="J35" s="6">
        <f t="shared" si="9"/>
        <v>124.26523481817986</v>
      </c>
      <c r="K35" s="20">
        <f t="shared" si="10"/>
        <v>209.5813482657355</v>
      </c>
      <c r="L35" s="6">
        <f t="shared" si="11"/>
        <v>204.66749559324828</v>
      </c>
      <c r="M35" s="29">
        <f t="shared" si="12"/>
        <v>30.637393544556076</v>
      </c>
      <c r="N35" s="13" t="str">
        <f t="shared" si="1"/>
        <v/>
      </c>
      <c r="O35" s="5">
        <f t="shared" si="2"/>
        <v>1.6346919298927816</v>
      </c>
      <c r="P35" s="7"/>
    </row>
    <row r="36" spans="1:16">
      <c r="A36" s="3">
        <v>5</v>
      </c>
      <c r="B36" s="6">
        <f t="shared" si="3"/>
        <v>95.380577410272338</v>
      </c>
      <c r="C36" s="6">
        <f t="shared" si="4"/>
        <v>95.380577410272338</v>
      </c>
      <c r="D36" s="20">
        <f t="shared" si="5"/>
        <v>140.72151737699195</v>
      </c>
      <c r="E36" s="6">
        <f t="shared" si="6"/>
        <v>140</v>
      </c>
      <c r="F36" s="29">
        <f t="shared" si="7"/>
        <v>34.128172335040311</v>
      </c>
      <c r="G36" s="13" t="str">
        <f t="shared" si="0"/>
        <v/>
      </c>
      <c r="H36" s="3">
        <v>5</v>
      </c>
      <c r="I36" s="6">
        <f t="shared" si="8"/>
        <v>142.73679607401698</v>
      </c>
      <c r="J36" s="6">
        <f t="shared" si="9"/>
        <v>137.30993586142193</v>
      </c>
      <c r="K36" s="20">
        <f t="shared" si="10"/>
        <v>201.27635638353823</v>
      </c>
      <c r="L36" s="6">
        <f t="shared" si="11"/>
        <v>204.66749559324828</v>
      </c>
      <c r="M36" s="29">
        <f t="shared" si="12"/>
        <v>34.289929466088005</v>
      </c>
      <c r="N36" s="13" t="str">
        <f t="shared" si="1"/>
        <v/>
      </c>
      <c r="O36" s="5">
        <f t="shared" si="2"/>
        <v>0.16175713104769329</v>
      </c>
      <c r="P36" s="7"/>
    </row>
    <row r="37" spans="1:16">
      <c r="A37" s="3">
        <v>6</v>
      </c>
      <c r="B37" s="6">
        <f t="shared" si="3"/>
        <v>107.88057741027234</v>
      </c>
      <c r="C37" s="6">
        <f t="shared" si="4"/>
        <v>107.88057741027234</v>
      </c>
      <c r="D37" s="20">
        <f t="shared" si="5"/>
        <v>131.38409727827121</v>
      </c>
      <c r="E37" s="6">
        <f t="shared" si="6"/>
        <v>140</v>
      </c>
      <c r="F37" s="29">
        <f t="shared" si="7"/>
        <v>39.248685082660955</v>
      </c>
      <c r="G37" s="13" t="str">
        <f t="shared" si="0"/>
        <v/>
      </c>
      <c r="H37" s="3">
        <v>6</v>
      </c>
      <c r="I37" s="6">
        <f t="shared" si="8"/>
        <v>155.23679607401698</v>
      </c>
      <c r="J37" s="6">
        <f t="shared" si="9"/>
        <v>150.26206569895885</v>
      </c>
      <c r="K37" s="20">
        <f t="shared" si="10"/>
        <v>191.80068231678081</v>
      </c>
      <c r="L37" s="6">
        <f t="shared" si="11"/>
        <v>204.66749559324828</v>
      </c>
      <c r="M37" s="29">
        <f t="shared" si="12"/>
        <v>37.921666168042307</v>
      </c>
      <c r="N37" s="13" t="str">
        <f t="shared" si="1"/>
        <v/>
      </c>
      <c r="O37" s="5">
        <f t="shared" si="2"/>
        <v>-1.3270189146186482</v>
      </c>
      <c r="P37" s="7"/>
    </row>
    <row r="38" spans="1:16">
      <c r="A38" s="3">
        <v>7</v>
      </c>
      <c r="B38" s="6">
        <f t="shared" si="3"/>
        <v>120.38057741027234</v>
      </c>
      <c r="C38" s="6">
        <f t="shared" si="4"/>
        <v>120.38057741027234</v>
      </c>
      <c r="D38" s="20">
        <f t="shared" si="5"/>
        <v>120.03548051459381</v>
      </c>
      <c r="E38" s="6">
        <f t="shared" si="6"/>
        <v>140</v>
      </c>
      <c r="F38" s="29">
        <f t="shared" si="7"/>
        <v>44.400658850181223</v>
      </c>
      <c r="G38" s="13" t="str">
        <f t="shared" si="0"/>
        <v/>
      </c>
      <c r="H38" s="3">
        <v>7</v>
      </c>
      <c r="I38" s="6">
        <f t="shared" si="8"/>
        <v>167.73679607401698</v>
      </c>
      <c r="J38" s="6">
        <f t="shared" si="9"/>
        <v>163.14367376631145</v>
      </c>
      <c r="K38" s="20">
        <f t="shared" si="10"/>
        <v>180.97052753233672</v>
      </c>
      <c r="L38" s="6">
        <f t="shared" si="11"/>
        <v>204.66749559324828</v>
      </c>
      <c r="M38" s="29">
        <f t="shared" si="12"/>
        <v>41.550374816384142</v>
      </c>
      <c r="N38" s="13" t="str">
        <f t="shared" si="1"/>
        <v/>
      </c>
      <c r="O38" s="5">
        <f t="shared" si="2"/>
        <v>-2.850284033797081</v>
      </c>
      <c r="P38" s="7"/>
    </row>
    <row r="39" spans="1:16">
      <c r="A39" s="3">
        <v>8</v>
      </c>
      <c r="B39" s="6">
        <f t="shared" si="3"/>
        <v>132.88057741027234</v>
      </c>
      <c r="C39" s="6">
        <f t="shared" si="4"/>
        <v>132.88057741027234</v>
      </c>
      <c r="D39" s="20">
        <f t="shared" si="5"/>
        <v>106.03184496703157</v>
      </c>
      <c r="E39" s="6">
        <f t="shared" si="6"/>
        <v>140</v>
      </c>
      <c r="F39" s="29">
        <f t="shared" si="7"/>
        <v>49.612256719137612</v>
      </c>
      <c r="G39" s="13" t="str">
        <f t="shared" si="0"/>
        <v/>
      </c>
      <c r="H39" s="3">
        <v>8</v>
      </c>
      <c r="I39" s="6">
        <f t="shared" si="8"/>
        <v>180.23679607401698</v>
      </c>
      <c r="J39" s="6">
        <f t="shared" si="9"/>
        <v>175.97024803022549</v>
      </c>
      <c r="K39" s="20">
        <f t="shared" si="10"/>
        <v>168.52495937837168</v>
      </c>
      <c r="L39" s="6">
        <f t="shared" si="11"/>
        <v>204.66749559324828</v>
      </c>
      <c r="M39" s="29">
        <f t="shared" si="12"/>
        <v>45.189788036185035</v>
      </c>
      <c r="N39" s="13" t="str">
        <f t="shared" si="1"/>
        <v/>
      </c>
      <c r="O39" s="5">
        <f t="shared" si="2"/>
        <v>-4.4224686829525766</v>
      </c>
      <c r="P39" s="7"/>
    </row>
    <row r="40" spans="1:16">
      <c r="A40" s="3">
        <v>9</v>
      </c>
      <c r="B40" s="6">
        <f t="shared" si="3"/>
        <v>145.38057741027234</v>
      </c>
      <c r="C40" s="6">
        <f t="shared" si="4"/>
        <v>145.38057741027234</v>
      </c>
      <c r="D40" s="20">
        <f t="shared" si="5"/>
        <v>88.116330562818007</v>
      </c>
      <c r="E40" s="6">
        <f t="shared" si="6"/>
        <v>140</v>
      </c>
      <c r="F40" s="29">
        <f t="shared" si="7"/>
        <v>54.908477251776219</v>
      </c>
      <c r="G40" s="13" t="str">
        <f t="shared" si="0"/>
        <v/>
      </c>
      <c r="H40" s="3">
        <v>9</v>
      </c>
      <c r="I40" s="6">
        <f t="shared" si="8"/>
        <v>192.73679607401698</v>
      </c>
      <c r="J40" s="6">
        <f t="shared" si="9"/>
        <v>188.75300817117989</v>
      </c>
      <c r="K40" s="20">
        <f t="shared" si="10"/>
        <v>154.07300877061951</v>
      </c>
      <c r="L40" s="6">
        <f t="shared" si="11"/>
        <v>204.66749559324828</v>
      </c>
      <c r="M40" s="29">
        <f t="shared" si="12"/>
        <v>48.851325309448676</v>
      </c>
      <c r="N40" s="13" t="str">
        <f t="shared" si="1"/>
        <v/>
      </c>
      <c r="O40" s="5">
        <f t="shared" si="2"/>
        <v>-6.0571519423275433</v>
      </c>
      <c r="P40" s="7"/>
    </row>
    <row r="41" spans="1:16">
      <c r="A41" s="3">
        <v>10</v>
      </c>
      <c r="B41" s="6">
        <f t="shared" si="3"/>
        <v>157.88057741027234</v>
      </c>
      <c r="C41" s="6">
        <f t="shared" si="4"/>
        <v>157.88057741027234</v>
      </c>
      <c r="D41" s="20">
        <f t="shared" si="5"/>
        <v>63.03747517627118</v>
      </c>
      <c r="E41" s="6">
        <f t="shared" si="6"/>
        <v>140</v>
      </c>
      <c r="F41" s="29">
        <f t="shared" si="7"/>
        <v>60.314007887934345</v>
      </c>
      <c r="G41" s="13" t="str">
        <f t="shared" si="0"/>
        <v/>
      </c>
      <c r="H41" s="3">
        <v>10</v>
      </c>
      <c r="I41" s="6">
        <f t="shared" si="8"/>
        <v>205.23679607401698</v>
      </c>
      <c r="J41" s="6">
        <f t="shared" si="9"/>
        <v>201.50029279264069</v>
      </c>
      <c r="K41" s="20">
        <f t="shared" si="10"/>
        <v>136.98110135993568</v>
      </c>
      <c r="L41" s="6">
        <f t="shared" si="11"/>
        <v>204.66749559324828</v>
      </c>
      <c r="M41" s="29">
        <f t="shared" si="12"/>
        <v>52.545125257838279</v>
      </c>
      <c r="N41" s="13" t="str">
        <f t="shared" si="1"/>
        <v/>
      </c>
      <c r="O41" s="5">
        <f t="shared" si="2"/>
        <v>-7.7688826300960656</v>
      </c>
      <c r="P41" s="7"/>
    </row>
    <row r="42" spans="1:16">
      <c r="A42" s="3">
        <v>11</v>
      </c>
      <c r="B42" s="6">
        <f t="shared" si="3"/>
        <v>170.38057741027234</v>
      </c>
      <c r="C42" s="6">
        <f t="shared" si="4"/>
        <v>170.38057741027234</v>
      </c>
      <c r="D42" s="20">
        <f t="shared" si="5"/>
        <v>0</v>
      </c>
      <c r="E42" s="6">
        <f t="shared" si="6"/>
        <v>140</v>
      </c>
      <c r="F42" s="29">
        <f t="shared" si="7"/>
        <v>65.855252391715652</v>
      </c>
      <c r="G42" s="13" t="str">
        <f t="shared" si="0"/>
        <v/>
      </c>
      <c r="H42" s="3">
        <v>11</v>
      </c>
      <c r="I42" s="6">
        <f t="shared" si="8"/>
        <v>217.73679607401698</v>
      </c>
      <c r="J42" s="6">
        <f t="shared" si="9"/>
        <v>214.21843500821856</v>
      </c>
      <c r="K42" s="20">
        <f t="shared" si="10"/>
        <v>116.08898409379994</v>
      </c>
      <c r="L42" s="6">
        <f t="shared" si="11"/>
        <v>204.66749559324828</v>
      </c>
      <c r="M42" s="29">
        <f t="shared" si="12"/>
        <v>56.280721091897774</v>
      </c>
      <c r="N42" s="13" t="str">
        <f t="shared" si="1"/>
        <v/>
      </c>
      <c r="O42" s="5">
        <f t="shared" si="2"/>
        <v>-9.5745312998178775</v>
      </c>
      <c r="P42" s="7"/>
    </row>
    <row r="43" spans="1:16">
      <c r="A43" s="3">
        <v>12</v>
      </c>
      <c r="B43" s="6">
        <f t="shared" si="3"/>
        <v>182.88057741027234</v>
      </c>
      <c r="C43" s="6">
        <f t="shared" si="4"/>
        <v>182.88057741027234</v>
      </c>
      <c r="D43" s="20">
        <f t="shared" si="5"/>
        <v>0</v>
      </c>
      <c r="E43" s="6">
        <f t="shared" si="6"/>
        <v>140</v>
      </c>
      <c r="F43" s="29">
        <f t="shared" si="7"/>
        <v>71.562192863865548</v>
      </c>
      <c r="G43" s="13" t="str">
        <f t="shared" si="0"/>
        <v/>
      </c>
      <c r="H43" s="3">
        <v>12</v>
      </c>
      <c r="I43" s="6">
        <f t="shared" si="8"/>
        <v>230.23679607401698</v>
      </c>
      <c r="J43" s="6">
        <f t="shared" si="9"/>
        <v>226.91233505303492</v>
      </c>
      <c r="K43" s="20">
        <f t="shared" si="10"/>
        <v>88.752365185836709</v>
      </c>
      <c r="L43" s="6">
        <f t="shared" si="11"/>
        <v>204.66749559324828</v>
      </c>
      <c r="M43" s="29">
        <f t="shared" si="12"/>
        <v>60.067528502167086</v>
      </c>
      <c r="N43" s="13" t="str">
        <f t="shared" si="1"/>
        <v/>
      </c>
      <c r="O43" s="5">
        <f t="shared" si="2"/>
        <v>-11.494664361698462</v>
      </c>
      <c r="P43" s="7"/>
    </row>
    <row r="44" spans="1:16">
      <c r="A44" s="3">
        <v>13</v>
      </c>
      <c r="B44" s="6">
        <f t="shared" si="3"/>
        <v>195.38057741027234</v>
      </c>
      <c r="C44" s="6">
        <f t="shared" si="4"/>
        <v>195.38057741027234</v>
      </c>
      <c r="D44" s="20">
        <f t="shared" si="5"/>
        <v>0</v>
      </c>
      <c r="E44" s="6">
        <f t="shared" si="6"/>
        <v>140</v>
      </c>
      <c r="F44" s="29">
        <f t="shared" si="7"/>
        <v>77.470526219706855</v>
      </c>
      <c r="G44" s="13" t="str">
        <f t="shared" si="0"/>
        <v/>
      </c>
      <c r="H44" s="3">
        <v>13</v>
      </c>
      <c r="I44" s="6">
        <f t="shared" si="8"/>
        <v>242.73679607401698</v>
      </c>
      <c r="J44" s="6">
        <f t="shared" si="9"/>
        <v>239.58584620355018</v>
      </c>
      <c r="K44" s="20">
        <f t="shared" si="10"/>
        <v>44.326204712671917</v>
      </c>
      <c r="L44" s="6">
        <f t="shared" si="11"/>
        <v>204.66749559324828</v>
      </c>
      <c r="M44" s="29">
        <f t="shared" si="12"/>
        <v>63.91523992657342</v>
      </c>
      <c r="N44" s="13" t="str">
        <f t="shared" si="1"/>
        <v/>
      </c>
      <c r="O44" s="5">
        <f t="shared" si="2"/>
        <v>-13.555286293133435</v>
      </c>
      <c r="P44" s="7"/>
    </row>
    <row r="45" spans="1:16">
      <c r="A45" s="3">
        <v>14</v>
      </c>
      <c r="B45" s="6">
        <f t="shared" si="3"/>
        <v>207.88057741027234</v>
      </c>
      <c r="C45" s="6">
        <f t="shared" si="4"/>
        <v>207.88057741027234</v>
      </c>
      <c r="D45" s="20">
        <f t="shared" si="5"/>
        <v>0</v>
      </c>
      <c r="E45" s="6">
        <f t="shared" si="6"/>
        <v>140</v>
      </c>
      <c r="F45" s="29">
        <f t="shared" si="7"/>
        <v>83.624533878256031</v>
      </c>
      <c r="G45" s="13" t="str">
        <f t="shared" si="0"/>
        <v/>
      </c>
      <c r="H45" s="3">
        <v>14</v>
      </c>
      <c r="I45" s="6">
        <f t="shared" si="8"/>
        <v>255.23679607401698</v>
      </c>
      <c r="J45" s="6">
        <f t="shared" si="9"/>
        <v>252.24204170383976</v>
      </c>
      <c r="K45" s="20">
        <f t="shared" si="10"/>
        <v>0</v>
      </c>
      <c r="L45" s="6">
        <f t="shared" si="11"/>
        <v>204.66749559324828</v>
      </c>
      <c r="M45" s="29">
        <f t="shared" si="12"/>
        <v>67.834183946590116</v>
      </c>
      <c r="N45" s="13" t="str">
        <f t="shared" si="1"/>
        <v/>
      </c>
      <c r="O45" s="5">
        <f t="shared" si="2"/>
        <v>-15.790349931665915</v>
      </c>
      <c r="P45" s="7"/>
    </row>
    <row r="46" spans="1:16">
      <c r="A46" s="3">
        <v>15</v>
      </c>
      <c r="B46" s="6">
        <f t="shared" si="3"/>
        <v>220.38057741027234</v>
      </c>
      <c r="C46" s="6">
        <f t="shared" si="4"/>
        <v>220.38057741027234</v>
      </c>
      <c r="D46" s="20">
        <f t="shared" si="5"/>
        <v>0</v>
      </c>
      <c r="E46" s="6">
        <f t="shared" si="6"/>
        <v>140</v>
      </c>
      <c r="F46" s="29">
        <f t="shared" si="7"/>
        <v>90.081368339360878</v>
      </c>
      <c r="G46" s="13" t="str">
        <f t="shared" si="0"/>
        <v/>
      </c>
      <c r="H46" s="3">
        <v>15</v>
      </c>
      <c r="I46" s="6">
        <f t="shared" si="8"/>
        <v>267.73679607401698</v>
      </c>
      <c r="J46" s="6">
        <f t="shared" si="9"/>
        <v>264.88340360387252</v>
      </c>
      <c r="K46" s="20">
        <f t="shared" si="10"/>
        <v>0</v>
      </c>
      <c r="L46" s="6">
        <f t="shared" si="11"/>
        <v>204.66749559324828</v>
      </c>
      <c r="M46" s="29">
        <f t="shared" si="12"/>
        <v>71.835693109223854</v>
      </c>
      <c r="N46" s="13" t="str">
        <f t="shared" si="1"/>
        <v/>
      </c>
      <c r="O46" s="5">
        <f t="shared" si="2"/>
        <v>-18.245675230137024</v>
      </c>
      <c r="P46" s="7"/>
    </row>
    <row r="47" spans="1:16">
      <c r="A47" s="3">
        <v>16</v>
      </c>
      <c r="B47" s="6">
        <f t="shared" si="3"/>
        <v>232.88057741027234</v>
      </c>
      <c r="C47" s="6">
        <f t="shared" si="4"/>
        <v>232.88057741027234</v>
      </c>
      <c r="D47" s="20">
        <f t="shared" si="5"/>
        <v>0</v>
      </c>
      <c r="E47" s="6">
        <f t="shared" si="6"/>
        <v>140</v>
      </c>
      <c r="F47" s="29">
        <f t="shared" si="7"/>
        <v>96.918005352544029</v>
      </c>
      <c r="G47" s="13" t="str">
        <f t="shared" si="0"/>
        <v/>
      </c>
      <c r="H47" s="3">
        <v>16</v>
      </c>
      <c r="I47" s="6">
        <f t="shared" si="8"/>
        <v>280.23679607401698</v>
      </c>
      <c r="J47" s="6">
        <f t="shared" si="9"/>
        <v>277.51195903352067</v>
      </c>
      <c r="K47" s="20">
        <f t="shared" si="10"/>
        <v>0</v>
      </c>
      <c r="L47" s="6">
        <f t="shared" si="11"/>
        <v>204.66749559324828</v>
      </c>
      <c r="M47" s="29">
        <f t="shared" si="12"/>
        <v>75.932519446799262</v>
      </c>
      <c r="N47" s="13" t="str">
        <f t="shared" si="1"/>
        <v/>
      </c>
      <c r="O47" s="5">
        <f t="shared" si="2"/>
        <v>-20.985485905744767</v>
      </c>
      <c r="P47" s="7"/>
    </row>
    <row r="48" spans="1:16">
      <c r="A48" s="3">
        <v>17</v>
      </c>
      <c r="B48" s="6">
        <f t="shared" si="3"/>
        <v>245.38057741027234</v>
      </c>
      <c r="C48" s="6">
        <f t="shared" si="4"/>
        <v>245.38057741027234</v>
      </c>
      <c r="D48" s="20">
        <f t="shared" si="5"/>
        <v>0</v>
      </c>
      <c r="E48" s="6">
        <f t="shared" si="6"/>
        <v>140</v>
      </c>
      <c r="F48" s="29">
        <f t="shared" si="7"/>
        <v>104.24345652405223</v>
      </c>
      <c r="G48" s="13" t="str">
        <f t="shared" si="0"/>
        <v/>
      </c>
      <c r="H48" s="3">
        <v>17</v>
      </c>
      <c r="I48" s="6">
        <f t="shared" si="8"/>
        <v>292.73679607401698</v>
      </c>
      <c r="J48" s="6">
        <f t="shared" si="9"/>
        <v>290.12938029174654</v>
      </c>
      <c r="K48" s="20">
        <f t="shared" si="10"/>
        <v>0</v>
      </c>
      <c r="L48" s="6">
        <f t="shared" si="11"/>
        <v>204.66749559324828</v>
      </c>
      <c r="M48" s="29">
        <f t="shared" si="12"/>
        <v>80.139341610816643</v>
      </c>
      <c r="N48" s="13" t="str">
        <f t="shared" si="1"/>
        <v/>
      </c>
      <c r="O48" s="5">
        <f t="shared" si="2"/>
        <v>-24.104114913235591</v>
      </c>
      <c r="P48" s="7"/>
    </row>
    <row r="49" spans="1:16">
      <c r="A49" s="3">
        <v>18</v>
      </c>
      <c r="B49" s="6">
        <f t="shared" si="3"/>
        <v>257.88057741027234</v>
      </c>
      <c r="C49" s="6">
        <f t="shared" si="4"/>
        <v>257.88057741027234</v>
      </c>
      <c r="D49" s="20">
        <f t="shared" si="5"/>
        <v>0</v>
      </c>
      <c r="E49" s="6">
        <f t="shared" si="6"/>
        <v>140</v>
      </c>
      <c r="F49" s="29">
        <f t="shared" si="7"/>
        <v>112.22232488715743</v>
      </c>
      <c r="G49" s="13" t="str">
        <f t="shared" si="0"/>
        <v/>
      </c>
      <c r="H49" s="3">
        <v>18</v>
      </c>
      <c r="I49" s="6">
        <f t="shared" si="8"/>
        <v>305.23679607401698</v>
      </c>
      <c r="J49" s="6">
        <f t="shared" si="9"/>
        <v>302.73705952579263</v>
      </c>
      <c r="K49" s="20">
        <f t="shared" si="10"/>
        <v>0</v>
      </c>
      <c r="L49" s="6">
        <f t="shared" si="11"/>
        <v>204.66749559324828</v>
      </c>
      <c r="M49" s="29">
        <f t="shared" si="12"/>
        <v>84.47342146721931</v>
      </c>
      <c r="N49" s="13" t="str">
        <f t="shared" si="1"/>
        <v/>
      </c>
      <c r="O49" s="5">
        <f t="shared" si="2"/>
        <v>-27.748903419938117</v>
      </c>
      <c r="P49" s="7"/>
    </row>
    <row r="50" spans="1:16">
      <c r="A50" s="3">
        <v>19</v>
      </c>
      <c r="B50" s="6">
        <f t="shared" si="3"/>
        <v>270.38057741027234</v>
      </c>
      <c r="C50" s="6">
        <f t="shared" si="4"/>
        <v>270.38057741027234</v>
      </c>
      <c r="D50" s="20">
        <f t="shared" si="5"/>
        <v>0</v>
      </c>
      <c r="E50" s="6">
        <f t="shared" si="6"/>
        <v>140</v>
      </c>
      <c r="F50" s="29">
        <f t="shared" si="7"/>
        <v>121.12624914251812</v>
      </c>
      <c r="G50" s="13" t="str">
        <f t="shared" si="0"/>
        <v/>
      </c>
      <c r="H50" s="3">
        <v>19</v>
      </c>
      <c r="I50" s="6">
        <f t="shared" si="8"/>
        <v>317.73679607401698</v>
      </c>
      <c r="J50" s="6">
        <f t="shared" si="9"/>
        <v>315.33616524619208</v>
      </c>
      <c r="K50" s="20">
        <f t="shared" si="10"/>
        <v>0</v>
      </c>
      <c r="L50" s="6">
        <f t="shared" si="11"/>
        <v>204.66749559324828</v>
      </c>
      <c r="M50" s="29">
        <f t="shared" si="12"/>
        <v>88.95549519011108</v>
      </c>
      <c r="N50" s="13" t="str">
        <f t="shared" si="1"/>
        <v/>
      </c>
      <c r="O50" s="5">
        <f t="shared" si="2"/>
        <v>-32.17075395240704</v>
      </c>
      <c r="P50" s="7"/>
    </row>
    <row r="51" spans="1:16">
      <c r="A51" s="3">
        <v>20</v>
      </c>
      <c r="B51" s="6">
        <f t="shared" si="3"/>
        <v>282.88057741027234</v>
      </c>
      <c r="C51" s="6">
        <f t="shared" si="4"/>
        <v>282.88057741027234</v>
      </c>
      <c r="D51" s="20">
        <f t="shared" si="5"/>
        <v>0</v>
      </c>
      <c r="E51" s="6">
        <f t="shared" si="6"/>
        <v>140</v>
      </c>
      <c r="F51" s="29">
        <f t="shared" si="7"/>
        <v>131.46900009785227</v>
      </c>
      <c r="G51" s="13" t="str">
        <f t="shared" si="0"/>
        <v/>
      </c>
      <c r="H51" s="3">
        <v>20</v>
      </c>
      <c r="I51" s="6">
        <f t="shared" si="8"/>
        <v>330.23679607401698</v>
      </c>
      <c r="J51" s="6">
        <f t="shared" si="9"/>
        <v>327.92768564734541</v>
      </c>
      <c r="K51" s="20">
        <f t="shared" si="10"/>
        <v>0</v>
      </c>
      <c r="L51" s="6">
        <f t="shared" si="11"/>
        <v>204.66749559324828</v>
      </c>
      <c r="M51" s="29">
        <f t="shared" si="12"/>
        <v>93.611033538931281</v>
      </c>
      <c r="N51" s="13" t="str">
        <f t="shared" si="1"/>
        <v/>
      </c>
      <c r="O51" s="5">
        <f t="shared" si="2"/>
        <v>-37.857966558920992</v>
      </c>
      <c r="P51" s="7"/>
    </row>
    <row r="52" spans="1:16">
      <c r="H52" s="5"/>
      <c r="I52" s="5"/>
      <c r="J52" s="5"/>
      <c r="K52" s="5"/>
    </row>
    <row r="53" spans="1:16">
      <c r="B53" t="s">
        <v>42</v>
      </c>
      <c r="H53" s="5"/>
      <c r="I53" s="5"/>
      <c r="J53" s="5"/>
      <c r="K53" s="5"/>
    </row>
    <row r="54" spans="1:16">
      <c r="B54" t="s">
        <v>43</v>
      </c>
      <c r="H54" s="5"/>
      <c r="I54" s="5"/>
      <c r="J54" s="5"/>
      <c r="K54" s="5"/>
    </row>
    <row r="55" spans="1:16">
      <c r="B55" t="s">
        <v>44</v>
      </c>
      <c r="H55" s="5"/>
      <c r="I55" s="5"/>
      <c r="J55" s="5"/>
      <c r="K55" s="5"/>
    </row>
    <row r="56" spans="1:16">
      <c r="H56" s="5"/>
      <c r="I56" s="5"/>
      <c r="J56" s="5"/>
      <c r="K56" s="5"/>
    </row>
    <row r="57" spans="1:16">
      <c r="B57" s="15">
        <f>B51-B31</f>
        <v>250</v>
      </c>
      <c r="C57" t="s">
        <v>45</v>
      </c>
      <c r="D57" t="s">
        <v>46</v>
      </c>
      <c r="H57" s="19">
        <f>I51-I31</f>
        <v>250</v>
      </c>
      <c r="I57" s="5" t="s">
        <v>45</v>
      </c>
      <c r="J57" s="5"/>
      <c r="K57" s="5"/>
    </row>
  </sheetData>
  <pageMargins left="0.75" right="0.75" top="1" bottom="1" header="0.5" footer="0.5"/>
  <pageSetup paperSize="9" orientation="landscape" horizontalDpi="300" vertic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dimension ref="A2:H43"/>
  <sheetViews>
    <sheetView showGridLines="0" workbookViewId="0">
      <selection activeCell="H25" sqref="H25"/>
    </sheetView>
  </sheetViews>
  <sheetFormatPr defaultColWidth="9" defaultRowHeight="12"/>
  <cols>
    <col min="1" max="1" width="5.44140625" style="30" customWidth="1"/>
    <col min="2" max="4" width="5.88671875" style="30" customWidth="1"/>
    <col min="5" max="16384" width="9" style="30"/>
  </cols>
  <sheetData>
    <row r="2" spans="1:4" ht="13.2">
      <c r="A2" s="30" t="s">
        <v>33</v>
      </c>
      <c r="B2" s="31" t="s">
        <v>38</v>
      </c>
      <c r="C2" s="31" t="s">
        <v>40</v>
      </c>
      <c r="D2" s="31"/>
    </row>
    <row r="3" spans="1:4">
      <c r="A3" s="30">
        <f>Sheeting!A31</f>
        <v>0</v>
      </c>
      <c r="B3" s="32">
        <f>IF(Sheeting!F31&lt;$H$25,Sheeting!F31,$H$25)</f>
        <v>4.9999999999999947</v>
      </c>
      <c r="C3" s="32">
        <f>Sheeting!M31</f>
        <v>14.999999999999982</v>
      </c>
      <c r="D3" s="32"/>
    </row>
    <row r="4" spans="1:4">
      <c r="A4" s="30">
        <f>Sheeting!A32</f>
        <v>1</v>
      </c>
      <c r="B4" s="32">
        <f>IF(Sheeting!F32&lt;$H$25,Sheeting!F32,$H$25)</f>
        <v>12.671723229357324</v>
      </c>
      <c r="C4" s="32">
        <f>Sheeting!M32</f>
        <v>19.222574991297446</v>
      </c>
      <c r="D4" s="32"/>
    </row>
    <row r="5" spans="1:4">
      <c r="A5" s="30">
        <f>Sheeting!A33</f>
        <v>2</v>
      </c>
      <c r="B5" s="32">
        <f>IF(Sheeting!F33&lt;$H$25,Sheeting!F33,$H$25)</f>
        <v>18.46342326026944</v>
      </c>
      <c r="C5" s="32">
        <f>Sheeting!M33</f>
        <v>23.156477232559652</v>
      </c>
      <c r="D5" s="32"/>
    </row>
    <row r="6" spans="1:4">
      <c r="A6" s="30">
        <f>Sheeting!A34</f>
        <v>3</v>
      </c>
      <c r="B6" s="32">
        <f>IF(Sheeting!F34&lt;$H$25,Sheeting!F34,$H$25)</f>
        <v>23.8164175369246</v>
      </c>
      <c r="C6" s="32">
        <f>Sheeting!M34</f>
        <v>26.939093767346048</v>
      </c>
      <c r="D6" s="32"/>
    </row>
    <row r="7" spans="1:4">
      <c r="A7" s="30">
        <f>Sheeting!A35</f>
        <v>4</v>
      </c>
      <c r="B7" s="32">
        <f>IF(Sheeting!F35&lt;$H$25,Sheeting!F35,$H$25)</f>
        <v>29.002701614663295</v>
      </c>
      <c r="C7" s="32">
        <f>Sheeting!M35</f>
        <v>30.637393544556076</v>
      </c>
      <c r="D7" s="32"/>
    </row>
    <row r="8" spans="1:4">
      <c r="A8" s="30">
        <f>Sheeting!A36</f>
        <v>5</v>
      </c>
      <c r="B8" s="32">
        <f>IF(Sheeting!F36&lt;$H$25,Sheeting!F36,$H$25)</f>
        <v>34.128172335040311</v>
      </c>
      <c r="C8" s="32">
        <f>Sheeting!M36</f>
        <v>34.289929466088005</v>
      </c>
      <c r="D8" s="32"/>
    </row>
    <row r="9" spans="1:4">
      <c r="A9" s="30">
        <f>Sheeting!A37</f>
        <v>6</v>
      </c>
      <c r="B9" s="32">
        <f>IF(Sheeting!F37&lt;$H$25,Sheeting!F37,$H$25)</f>
        <v>39.248685082660955</v>
      </c>
      <c r="C9" s="32">
        <f>Sheeting!M37</f>
        <v>37.921666168042307</v>
      </c>
      <c r="D9" s="32"/>
    </row>
    <row r="10" spans="1:4">
      <c r="A10" s="30">
        <f>Sheeting!A38</f>
        <v>7</v>
      </c>
      <c r="B10" s="32">
        <f>IF(Sheeting!F38&lt;$H$25,Sheeting!F38,$H$25)</f>
        <v>44.400658850181223</v>
      </c>
      <c r="C10" s="32">
        <f>Sheeting!M38</f>
        <v>41.550374816384142</v>
      </c>
      <c r="D10" s="32"/>
    </row>
    <row r="11" spans="1:4">
      <c r="A11" s="30">
        <f>Sheeting!A39</f>
        <v>8</v>
      </c>
      <c r="B11" s="32">
        <f>IF(Sheeting!F39&lt;$H$25,Sheeting!F39,$H$25)</f>
        <v>49.612256719137612</v>
      </c>
      <c r="C11" s="32">
        <f>Sheeting!M39</f>
        <v>45.189788036185035</v>
      </c>
      <c r="D11" s="32"/>
    </row>
    <row r="12" spans="1:4">
      <c r="A12" s="30">
        <f>Sheeting!A40</f>
        <v>9</v>
      </c>
      <c r="B12" s="32">
        <f>IF(Sheeting!F40&lt;$H$25,Sheeting!F40,$H$25)</f>
        <v>54.908477251776219</v>
      </c>
      <c r="C12" s="32">
        <f>Sheeting!M40</f>
        <v>48.851325309448676</v>
      </c>
      <c r="D12" s="32"/>
    </row>
    <row r="13" spans="1:4">
      <c r="A13" s="30">
        <f>Sheeting!A41</f>
        <v>10</v>
      </c>
      <c r="B13" s="32">
        <f>IF(Sheeting!F41&lt;$H$25,Sheeting!F41,$H$25)</f>
        <v>60.314007887934345</v>
      </c>
      <c r="C13" s="32">
        <f>Sheeting!M41</f>
        <v>52.545125257838279</v>
      </c>
      <c r="D13" s="32"/>
    </row>
    <row r="14" spans="1:4">
      <c r="A14" s="30">
        <f>Sheeting!A42</f>
        <v>11</v>
      </c>
      <c r="B14" s="32">
        <f>IF(Sheeting!F42&lt;$H$25,Sheeting!F42,$H$25)</f>
        <v>65.855252391715652</v>
      </c>
      <c r="C14" s="32">
        <f>Sheeting!M42</f>
        <v>56.280721091897774</v>
      </c>
      <c r="D14" s="32"/>
    </row>
    <row r="15" spans="1:4">
      <c r="A15" s="30">
        <f>Sheeting!A43</f>
        <v>12</v>
      </c>
      <c r="B15" s="32">
        <f>IF(Sheeting!F43&lt;$H$25,Sheeting!F43,$H$25)</f>
        <v>71.562192863865548</v>
      </c>
      <c r="C15" s="32">
        <f>Sheeting!M43</f>
        <v>60.067528502167086</v>
      </c>
      <c r="D15" s="32"/>
    </row>
    <row r="16" spans="1:4">
      <c r="A16" s="30">
        <f>Sheeting!A44</f>
        <v>13</v>
      </c>
      <c r="B16" s="32">
        <f>IF(Sheeting!F44&lt;$H$25,Sheeting!F44,$H$25)</f>
        <v>77.470526219706855</v>
      </c>
      <c r="C16" s="32">
        <f>Sheeting!M44</f>
        <v>63.91523992657342</v>
      </c>
      <c r="D16" s="32"/>
    </row>
    <row r="17" spans="1:8">
      <c r="A17" s="30">
        <f>Sheeting!A45</f>
        <v>14</v>
      </c>
      <c r="B17" s="32">
        <f>IF(Sheeting!F45&lt;$H$25,Sheeting!F45,$H$25)</f>
        <v>83.624533878256031</v>
      </c>
      <c r="C17" s="32">
        <f>Sheeting!M45</f>
        <v>67.834183946590116</v>
      </c>
      <c r="D17" s="32"/>
    </row>
    <row r="18" spans="1:8">
      <c r="A18" s="30">
        <f>Sheeting!A46</f>
        <v>15</v>
      </c>
      <c r="B18" s="32">
        <f>IF(Sheeting!F46&lt;$H$25,Sheeting!F46,$H$25)</f>
        <v>90</v>
      </c>
      <c r="C18" s="32">
        <f>Sheeting!M46</f>
        <v>71.835693109223854</v>
      </c>
      <c r="D18" s="32"/>
    </row>
    <row r="19" spans="1:8">
      <c r="A19" s="30">
        <f>Sheeting!A47</f>
        <v>16</v>
      </c>
      <c r="B19" s="32">
        <f>IF(Sheeting!F47&lt;$H$25,Sheeting!F47,$H$25)</f>
        <v>90</v>
      </c>
      <c r="C19" s="32">
        <f>Sheeting!M47</f>
        <v>75.932519446799262</v>
      </c>
      <c r="D19" s="32"/>
    </row>
    <row r="20" spans="1:8">
      <c r="A20" s="30">
        <f>Sheeting!A48</f>
        <v>17</v>
      </c>
      <c r="B20" s="32">
        <f>IF(Sheeting!F48&lt;$H$25,Sheeting!F48,$H$25)</f>
        <v>90</v>
      </c>
      <c r="C20" s="32">
        <f>Sheeting!M48</f>
        <v>80.139341610816643</v>
      </c>
      <c r="D20" s="32"/>
    </row>
    <row r="21" spans="1:8">
      <c r="A21" s="30">
        <f>Sheeting!A49</f>
        <v>18</v>
      </c>
      <c r="B21" s="32">
        <f>IF(Sheeting!F49&lt;$H$25,Sheeting!F49,$H$25)</f>
        <v>90</v>
      </c>
      <c r="C21" s="32">
        <f>Sheeting!M49</f>
        <v>84.47342146721931</v>
      </c>
      <c r="D21" s="32"/>
    </row>
    <row r="22" spans="1:8">
      <c r="A22" s="30">
        <f>Sheeting!A50</f>
        <v>19</v>
      </c>
      <c r="B22" s="32">
        <f>IF(Sheeting!F50&lt;$H$25,Sheeting!F50,$H$25)</f>
        <v>90</v>
      </c>
      <c r="C22" s="32">
        <f>Sheeting!M50</f>
        <v>88.95549519011108</v>
      </c>
      <c r="D22" s="32"/>
    </row>
    <row r="23" spans="1:8">
      <c r="A23" s="30">
        <f>Sheeting!A51</f>
        <v>20</v>
      </c>
      <c r="B23" s="32">
        <f>IF(Sheeting!F51&lt;$H$25,Sheeting!F51,$H$25)</f>
        <v>90</v>
      </c>
      <c r="C23" s="32">
        <f>Sheeting!M51</f>
        <v>93.611033538931281</v>
      </c>
      <c r="D23" s="32"/>
    </row>
    <row r="24" spans="1:8" ht="6.6" customHeight="1"/>
    <row r="25" spans="1:8">
      <c r="A25" s="30" t="s">
        <v>47</v>
      </c>
      <c r="B25" s="30">
        <f>Sheeting!B24</f>
        <v>140</v>
      </c>
      <c r="C25" s="30">
        <f>Sheeting!I24</f>
        <v>0</v>
      </c>
      <c r="E25" s="30" t="s">
        <v>48</v>
      </c>
      <c r="H25" s="33">
        <v>90</v>
      </c>
    </row>
    <row r="26" spans="1:8">
      <c r="A26" s="30" t="s">
        <v>49</v>
      </c>
      <c r="B26" s="30">
        <f>Sheeting!B22</f>
        <v>170</v>
      </c>
      <c r="C26" s="30">
        <f>Sheeting!I22</f>
        <v>250</v>
      </c>
    </row>
    <row r="27" spans="1:8">
      <c r="A27" s="30" t="s">
        <v>50</v>
      </c>
      <c r="B27" s="30">
        <f>Sheeting!B23</f>
        <v>0</v>
      </c>
      <c r="C27" s="30">
        <f>Sheeting!I23</f>
        <v>40</v>
      </c>
    </row>
    <row r="37" spans="3:7">
      <c r="C37" s="30" t="s">
        <v>51</v>
      </c>
    </row>
    <row r="40" spans="3:7">
      <c r="G40" s="30" t="s">
        <v>52</v>
      </c>
    </row>
    <row r="43" spans="3:7">
      <c r="C43" s="30" t="s">
        <v>53</v>
      </c>
    </row>
  </sheetData>
  <pageMargins left="0.75" right="0.75" top="1" bottom="1" header="0.5" footer="0.5"/>
  <headerFooter alignWithMargins="0">
    <oddHeader>&amp;A</oddHeader>
    <oddFoote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Sheeting</vt:lpstr>
      <vt:lpstr>Graph</vt:lpstr>
      <vt:lpstr>Incr</vt:lpstr>
      <vt:lpstr>JibBase</vt:lpstr>
      <vt:lpstr>JibF</vt:lpstr>
      <vt:lpstr>JibHt</vt:lpstr>
      <vt:lpstr>JibMaxR</vt:lpstr>
      <vt:lpstr>JibMinR</vt:lpstr>
      <vt:lpstr>JibR</vt:lpstr>
      <vt:lpstr>JibStart</vt:lpstr>
      <vt:lpstr>MainBase</vt:lpstr>
      <vt:lpstr>MainF</vt:lpstr>
      <vt:lpstr>MainHt</vt:lpstr>
      <vt:lpstr>MainMaxR</vt:lpstr>
      <vt:lpstr>MainMinR</vt:lpstr>
      <vt:lpstr>MainR</vt:lpstr>
      <vt:lpstr>MainStart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George</cp:lastModifiedBy>
  <dcterms:created xsi:type="dcterms:W3CDTF">2000-05-25T16:40:25Z</dcterms:created>
  <dcterms:modified xsi:type="dcterms:W3CDTF">2013-06-17T13:05:38Z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-1208970951</vt:i4>
  </property>
  <property fmtid="{D5CDD505-2E9C-101B-9397-08002B2CF9AE}" pid="3" name="_NewReviewCycle">
    <vt:lpwstr/>
  </property>
  <property fmtid="{D5CDD505-2E9C-101B-9397-08002B2CF9AE}" pid="4" name="_EmailSubject">
    <vt:lpwstr>Your Excel spreadsheet Sheetin</vt:lpwstr>
  </property>
  <property fmtid="{D5CDD505-2E9C-101B-9397-08002B2CF9AE}" pid="5" name="_AuthorEmail">
    <vt:lpwstr>g.redford@manx.net</vt:lpwstr>
  </property>
  <property fmtid="{D5CDD505-2E9C-101B-9397-08002B2CF9AE}" pid="6" name="_AuthorEmailDisplayName">
    <vt:lpwstr>George Redford</vt:lpwstr>
  </property>
</Properties>
</file>