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515" tabRatio="682" activeTab="0"/>
  </bookViews>
  <sheets>
    <sheet name="Lens" sheetId="1" r:id="rId1"/>
  </sheets>
  <externalReferences>
    <externalReference r:id="rId4"/>
  </externalReferences>
  <definedNames>
    <definedName name="solver_adj" localSheetId="0" hidden="1">'Lens'!$E$14:$E$15</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'Lens'!$E$14</definedName>
    <definedName name="solver_lhs2" localSheetId="0" hidden="1">'Lens'!$E$14</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'Lens'!$E$17</definedName>
    <definedName name="solver_pre" localSheetId="0" hidden="1">0.000001</definedName>
    <definedName name="solver_rbv" localSheetId="0" hidden="1">1</definedName>
    <definedName name="solver_rel1" localSheetId="0" hidden="1">3</definedName>
    <definedName name="solver_rel2" localSheetId="0" hidden="1">3</definedName>
    <definedName name="solver_rhs1" localSheetId="0" hidden="1">0.05</definedName>
    <definedName name="solver_rhs2" localSheetId="0" hidden="1">0.05</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fullCalcOnLoad="1"/>
</workbook>
</file>

<file path=xl/sharedStrings.xml><?xml version="1.0" encoding="utf-8"?>
<sst xmlns="http://schemas.openxmlformats.org/spreadsheetml/2006/main" count="122" uniqueCount="87">
  <si>
    <t>Focal length</t>
  </si>
  <si>
    <t>DoF</t>
  </si>
  <si>
    <t>parameterised</t>
  </si>
  <si>
    <t>Aperture</t>
  </si>
  <si>
    <t>f</t>
  </si>
  <si>
    <t>NDp</t>
  </si>
  <si>
    <t>Near DoF (ND)</t>
  </si>
  <si>
    <t>Cell fill colour when subject distance &lt; hyperfocal distance</t>
  </si>
  <si>
    <t>Delete cell content and leave blank to exclude it from the desired use case.</t>
  </si>
  <si>
    <t>Otherwise far depth of field = infinity</t>
  </si>
  <si>
    <t>Lens description</t>
  </si>
  <si>
    <t>m per 1/f</t>
  </si>
  <si>
    <t>mm</t>
  </si>
  <si>
    <t>(mm)</t>
  </si>
  <si>
    <t>Near depth of field 'ND' is in mm.</t>
  </si>
  <si>
    <t>Near Depth of Field "single number" estimator for MFT lenses</t>
  </si>
  <si>
    <t>DO NOT copy and paste into these cells.</t>
  </si>
  <si>
    <t>x</t>
  </si>
  <si>
    <t>#</t>
  </si>
  <si>
    <t>Use case switch</t>
  </si>
  <si>
    <t>Average under- or over-estimate</t>
  </si>
  <si>
    <t>(Inspect relative error table)</t>
  </si>
  <si>
    <t>NDse = NDre^2</t>
  </si>
  <si>
    <t>m</t>
  </si>
  <si>
    <t>Minimum focus distance</t>
  </si>
  <si>
    <t>Maximum aperture</t>
  </si>
  <si>
    <t>Use case</t>
  </si>
  <si>
    <t>NDp'</t>
  </si>
  <si>
    <t>Max error</t>
  </si>
  <si>
    <t>ND estimated</t>
  </si>
  <si>
    <t>ND sq. err</t>
  </si>
  <si>
    <t>RMS error (average error)</t>
  </si>
  <si>
    <t>Oly 17/1.2 Pro</t>
  </si>
  <si>
    <t>Circle of confusion</t>
  </si>
  <si>
    <t>Hyperfocal distance</t>
  </si>
  <si>
    <t>Aperture f</t>
  </si>
  <si>
    <t>(m)</t>
  </si>
  <si>
    <t>(f)</t>
  </si>
  <si>
    <t>Near DoF parameter</t>
  </si>
  <si>
    <t>ND = NDPlane - sd</t>
  </si>
  <si>
    <t>AV</t>
  </si>
  <si>
    <t>stop</t>
  </si>
  <si>
    <t>continues</t>
  </si>
  <si>
    <t>Subject distance sd (m)</t>
  </si>
  <si>
    <t>Temporary work area</t>
  </si>
  <si>
    <t>sd sequence</t>
  </si>
  <si>
    <t>from minimum</t>
  </si>
  <si>
    <t>focus dist. of</t>
  </si>
  <si>
    <t>every 1 /</t>
  </si>
  <si>
    <t>of maximum f</t>
  </si>
  <si>
    <t>NDp = ND / (f * sd)</t>
  </si>
  <si>
    <t>NDest = NDp' * f * sd</t>
  </si>
  <si>
    <t>Balance cut-off</t>
  </si>
  <si>
    <t>hyperfocal dist.</t>
  </si>
  <si>
    <t xml:space="preserve">  Aperture sequence increments</t>
  </si>
  <si>
    <t>(mm per f per sd)</t>
  </si>
  <si>
    <t>adjusted</t>
  </si>
  <si>
    <t>SDA</t>
  </si>
  <si>
    <t>Subject distance adjustment</t>
  </si>
  <si>
    <t>mm per aperture f per subject distance in metres</t>
  </si>
  <si>
    <t>sd sequence multiplier</t>
  </si>
  <si>
    <t>Nicely rounded:</t>
  </si>
  <si>
    <t>to approximately</t>
  </si>
  <si>
    <t>(Usually 0.000015)</t>
  </si>
  <si>
    <t>Use case table</t>
  </si>
  <si>
    <t>Lens details</t>
  </si>
  <si>
    <t>Use case error advisory table</t>
  </si>
  <si>
    <t>ND relative error</t>
  </si>
  <si>
    <t>NDre = (Ndest - ND) /</t>
  </si>
  <si>
    <t>MIN (NDest, ND)</t>
  </si>
  <si>
    <t>(sd-1) * SDA</t>
  </si>
  <si>
    <t xml:space="preserve">NDp' = NDp + </t>
  </si>
  <si>
    <t>Renard 5</t>
  </si>
  <si>
    <t>Renard 40</t>
  </si>
  <si>
    <t>additional mm per subject distance &gt; 1  (decrement when sd &lt; 1)</t>
  </si>
  <si>
    <t>Inputs in red</t>
  </si>
  <si>
    <t>Results in grey</t>
  </si>
  <si>
    <t>H  parameter</t>
  </si>
  <si>
    <t>Set 'x' or '#' in a cell for a use case combination of aperture and subject distance.</t>
  </si>
  <si>
    <r>
      <t xml:space="preserve">Switch value:    </t>
    </r>
    <r>
      <rPr>
        <b/>
        <sz val="11"/>
        <color indexed="8"/>
        <rFont val="Calibri"/>
        <family val="2"/>
      </rPr>
      <t>0</t>
    </r>
    <r>
      <rPr>
        <sz val="11"/>
        <color theme="1"/>
        <rFont val="Calibri"/>
        <family val="2"/>
      </rPr>
      <t xml:space="preserve"> = use whole table     </t>
    </r>
    <r>
      <rPr>
        <b/>
        <sz val="11"/>
        <color indexed="8"/>
        <rFont val="Calibri"/>
        <family val="2"/>
      </rPr>
      <t>1</t>
    </r>
    <r>
      <rPr>
        <sz val="11"/>
        <color theme="1"/>
        <rFont val="Calibri"/>
        <family val="2"/>
      </rPr>
      <t xml:space="preserve"> = use both 'x' and '#'     </t>
    </r>
    <r>
      <rPr>
        <b/>
        <sz val="11"/>
        <color indexed="8"/>
        <rFont val="Calibri"/>
        <family val="2"/>
      </rPr>
      <t>2</t>
    </r>
    <r>
      <rPr>
        <sz val="11"/>
        <color theme="1"/>
        <rFont val="Calibri"/>
        <family val="2"/>
      </rPr>
      <t xml:space="preserve"> = use '#' only</t>
    </r>
  </si>
  <si>
    <t>(OK, if you must, BUT "Paste value" only, make NO paste which includes formating.)</t>
  </si>
  <si>
    <t>Aperture sequence continues from</t>
  </si>
  <si>
    <t>Subject distance sequencing</t>
  </si>
  <si>
    <t>Aperture sequencing</t>
  </si>
  <si>
    <t>Lookup tables</t>
  </si>
  <si>
    <t>'official' aperture f stop sequence</t>
  </si>
  <si>
    <t>Next 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</si>
</sst>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E+00"/>
  </numFmts>
  <fonts count="49">
    <font>
      <sz val="11"/>
      <color theme="1"/>
      <name val="Calibri"/>
      <family val="2"/>
    </font>
    <font>
      <sz val="11"/>
      <color indexed="8"/>
      <name val="Calibri"/>
      <family val="2"/>
    </font>
    <font>
      <sz val="11"/>
      <color indexed="10"/>
      <name val="Calibri"/>
      <family val="2"/>
    </font>
    <font>
      <b/>
      <sz val="11"/>
      <color indexed="30"/>
      <name val="Calibri"/>
      <family val="2"/>
    </font>
    <font>
      <b/>
      <sz val="11"/>
      <color indexed="8"/>
      <name val="Calibri"/>
      <family val="2"/>
    </font>
    <font>
      <b/>
      <sz val="16"/>
      <color indexed="8"/>
      <name val="Calibri"/>
      <family val="2"/>
    </font>
    <font>
      <b/>
      <sz val="11"/>
      <name val="Calibri"/>
      <family val="2"/>
    </font>
    <font>
      <sz val="11"/>
      <name val="Calibri"/>
      <family val="2"/>
    </font>
    <font>
      <i/>
      <sz val="11"/>
      <color indexed="8"/>
      <name val="Calibri"/>
      <family val="2"/>
    </font>
    <font>
      <b/>
      <sz val="11"/>
      <color indexed="10"/>
      <name val="Calibri"/>
      <family val="2"/>
    </font>
    <font>
      <i/>
      <sz val="10"/>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4"/>
      <color indexed="8"/>
      <name val="Calibri"/>
      <family val="2"/>
    </font>
    <font>
      <sz val="14"/>
      <color indexed="8"/>
      <name val="Calibri"/>
      <family val="2"/>
    </font>
    <font>
      <u val="single"/>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6"/>
      <color theme="1"/>
      <name val="Calibri"/>
      <family val="2"/>
    </font>
    <font>
      <b/>
      <sz val="11"/>
      <color rgb="FF0070C0"/>
      <name val="Calibri"/>
      <family val="2"/>
    </font>
    <font>
      <b/>
      <sz val="11"/>
      <color rgb="FFFF0000"/>
      <name val="Calibri"/>
      <family val="2"/>
    </font>
    <font>
      <i/>
      <sz val="10"/>
      <color rgb="FFFF0000"/>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tint="-0.0999699980020523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top style="thin"/>
      <bottom style="thin"/>
    </border>
    <border>
      <left style="dotted"/>
      <right style="dotted"/>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right/>
      <top style="dotted"/>
      <bottom style="dotted"/>
    </border>
    <border>
      <left style="dashDotDot"/>
      <right/>
      <top style="dashDotDot"/>
      <bottom/>
    </border>
    <border>
      <left/>
      <right/>
      <top style="dashDotDot"/>
      <bottom/>
    </border>
    <border>
      <left/>
      <right style="dashDotDot"/>
      <top style="dashDotDot"/>
      <bottom/>
    </border>
    <border>
      <left style="dashDotDot"/>
      <right/>
      <top/>
      <bottom/>
    </border>
    <border>
      <left/>
      <right style="dashDotDot"/>
      <top/>
      <bottom/>
    </border>
    <border>
      <left style="dashDotDot"/>
      <right/>
      <top/>
      <bottom style="dashDotDot"/>
    </border>
    <border>
      <left/>
      <right/>
      <top/>
      <bottom style="dashDotDot"/>
    </border>
    <border>
      <left/>
      <right style="dashDotDot"/>
      <top/>
      <bottom style="dashDotDot"/>
    </border>
    <border>
      <left style="dashDotDot"/>
      <right/>
      <top style="thin"/>
      <bottom/>
    </border>
    <border>
      <left style="dashDotDot"/>
      <right/>
      <top/>
      <bottom style="thin"/>
    </border>
    <border>
      <left/>
      <right style="dashDotDo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4">
    <xf numFmtId="0" fontId="0" fillId="0" borderId="0" xfId="0" applyFont="1" applyAlignment="1">
      <alignment/>
    </xf>
    <xf numFmtId="0" fontId="0" fillId="0" borderId="0" xfId="0" applyAlignment="1">
      <alignment horizontal="right"/>
    </xf>
    <xf numFmtId="0" fontId="0" fillId="0" borderId="0" xfId="0" applyBorder="1" applyAlignment="1">
      <alignment/>
    </xf>
    <xf numFmtId="0" fontId="43" fillId="0" borderId="0" xfId="0" applyFont="1" applyAlignment="1">
      <alignment/>
    </xf>
    <xf numFmtId="9" fontId="0" fillId="0" borderId="0" xfId="57" applyFont="1" applyAlignment="1">
      <alignment/>
    </xf>
    <xf numFmtId="10" fontId="0" fillId="0" borderId="0" xfId="57" applyNumberFormat="1" applyFont="1" applyAlignment="1">
      <alignment/>
    </xf>
    <xf numFmtId="0" fontId="0" fillId="0" borderId="0" xfId="0" applyFill="1" applyBorder="1" applyAlignment="1">
      <alignment/>
    </xf>
    <xf numFmtId="9" fontId="0" fillId="0" borderId="0" xfId="57" applyNumberFormat="1" applyFont="1" applyAlignment="1">
      <alignment/>
    </xf>
    <xf numFmtId="2" fontId="0" fillId="0" borderId="0" xfId="0" applyNumberFormat="1" applyBorder="1" applyAlignment="1">
      <alignment/>
    </xf>
    <xf numFmtId="0" fontId="0" fillId="0" borderId="0" xfId="0" applyFill="1" applyAlignment="1">
      <alignment/>
    </xf>
    <xf numFmtId="0" fontId="0" fillId="0" borderId="0" xfId="0" applyAlignment="1">
      <alignment horizontal="left"/>
    </xf>
    <xf numFmtId="1" fontId="0" fillId="0" borderId="0" xfId="0" applyNumberFormat="1" applyAlignment="1">
      <alignment/>
    </xf>
    <xf numFmtId="1" fontId="0" fillId="0" borderId="0" xfId="0" applyNumberFormat="1" applyFill="1" applyBorder="1" applyAlignment="1">
      <alignment/>
    </xf>
    <xf numFmtId="1" fontId="0" fillId="0" borderId="0" xfId="57" applyNumberFormat="1" applyFont="1" applyFill="1" applyBorder="1" applyAlignment="1">
      <alignment/>
    </xf>
    <xf numFmtId="9" fontId="0" fillId="0" borderId="0" xfId="57" applyFont="1" applyFill="1" applyBorder="1" applyAlignment="1">
      <alignment/>
    </xf>
    <xf numFmtId="0" fontId="0" fillId="7" borderId="0" xfId="0" applyFill="1" applyAlignment="1">
      <alignment/>
    </xf>
    <xf numFmtId="0" fontId="0" fillId="5" borderId="0" xfId="0" applyFill="1" applyAlignment="1">
      <alignment/>
    </xf>
    <xf numFmtId="0" fontId="0" fillId="0" borderId="0" xfId="0" applyAlignment="1" quotePrefix="1">
      <alignment/>
    </xf>
    <xf numFmtId="0" fontId="0" fillId="9" borderId="0" xfId="0" applyFill="1" applyAlignment="1">
      <alignment/>
    </xf>
    <xf numFmtId="164" fontId="0" fillId="0" borderId="0" xfId="0" applyNumberFormat="1" applyFill="1" applyBorder="1" applyAlignment="1">
      <alignment/>
    </xf>
    <xf numFmtId="164" fontId="0" fillId="0" borderId="0" xfId="0" applyNumberFormat="1" applyAlignment="1">
      <alignment/>
    </xf>
    <xf numFmtId="0" fontId="42" fillId="0" borderId="0" xfId="0" applyFont="1" applyAlignment="1">
      <alignment/>
    </xf>
    <xf numFmtId="1" fontId="7" fillId="0" borderId="0" xfId="0" applyNumberFormat="1" applyFont="1" applyFill="1" applyBorder="1" applyAlignment="1">
      <alignment/>
    </xf>
    <xf numFmtId="165" fontId="0" fillId="0" borderId="0" xfId="0" applyNumberFormat="1" applyAlignment="1">
      <alignment/>
    </xf>
    <xf numFmtId="0" fontId="0" fillId="0" borderId="0" xfId="0" applyFill="1" applyAlignment="1">
      <alignment horizontal="right"/>
    </xf>
    <xf numFmtId="0" fontId="43" fillId="0" borderId="10" xfId="0" applyFont="1" applyBorder="1" applyAlignment="1">
      <alignment horizontal="center"/>
    </xf>
    <xf numFmtId="0" fontId="43" fillId="0" borderId="11" xfId="0" applyFont="1" applyBorder="1" applyAlignment="1">
      <alignment horizontal="center"/>
    </xf>
    <xf numFmtId="0" fontId="43" fillId="0" borderId="12" xfId="0" applyFont="1" applyBorder="1" applyAlignment="1">
      <alignment horizontal="center"/>
    </xf>
    <xf numFmtId="0" fontId="43" fillId="0" borderId="13" xfId="0" applyFont="1" applyBorder="1" applyAlignment="1">
      <alignment horizontal="center"/>
    </xf>
    <xf numFmtId="0" fontId="43" fillId="0" borderId="0" xfId="0" applyFont="1" applyBorder="1" applyAlignment="1">
      <alignment horizontal="center"/>
    </xf>
    <xf numFmtId="0" fontId="43" fillId="0" borderId="14" xfId="0" applyFont="1" applyBorder="1" applyAlignment="1">
      <alignment horizontal="center"/>
    </xf>
    <xf numFmtId="0" fontId="43" fillId="0" borderId="15" xfId="0" applyFont="1" applyBorder="1" applyAlignment="1">
      <alignment horizontal="center"/>
    </xf>
    <xf numFmtId="0" fontId="43" fillId="0" borderId="16" xfId="0" applyFont="1" applyBorder="1" applyAlignment="1">
      <alignment horizontal="center"/>
    </xf>
    <xf numFmtId="0" fontId="43" fillId="0" borderId="17" xfId="0" applyFont="1" applyBorder="1" applyAlignment="1">
      <alignment horizontal="center"/>
    </xf>
    <xf numFmtId="0" fontId="44" fillId="0" borderId="0" xfId="0" applyFont="1" applyAlignment="1">
      <alignment vertical="center"/>
    </xf>
    <xf numFmtId="0" fontId="0" fillId="0" borderId="0" xfId="0" applyAlignment="1">
      <alignment vertical="center"/>
    </xf>
    <xf numFmtId="0" fontId="45" fillId="0" borderId="0" xfId="0" applyFont="1" applyFill="1" applyBorder="1" applyAlignment="1">
      <alignment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horizontal="right"/>
    </xf>
    <xf numFmtId="0" fontId="0" fillId="0" borderId="0" xfId="0" applyFill="1" applyAlignment="1" quotePrefix="1">
      <alignment/>
    </xf>
    <xf numFmtId="9" fontId="43" fillId="0" borderId="0" xfId="57" applyFont="1" applyFill="1" applyBorder="1" applyAlignment="1">
      <alignment/>
    </xf>
    <xf numFmtId="164" fontId="0" fillId="33" borderId="0" xfId="0" applyNumberFormat="1" applyFill="1" applyBorder="1" applyAlignment="1">
      <alignment/>
    </xf>
    <xf numFmtId="166" fontId="0" fillId="0" borderId="0" xfId="0" applyNumberFormat="1" applyAlignment="1">
      <alignment/>
    </xf>
    <xf numFmtId="0" fontId="0" fillId="0" borderId="0" xfId="0" applyNumberFormat="1" applyFill="1" applyBorder="1" applyAlignment="1">
      <alignment horizontal="right"/>
    </xf>
    <xf numFmtId="164" fontId="0" fillId="0" borderId="0" xfId="0" applyNumberFormat="1" applyBorder="1" applyAlignment="1">
      <alignment/>
    </xf>
    <xf numFmtId="164" fontId="0" fillId="0" borderId="0" xfId="57" applyNumberFormat="1" applyFont="1" applyFill="1" applyBorder="1" applyAlignment="1">
      <alignment/>
    </xf>
    <xf numFmtId="0" fontId="0" fillId="0" borderId="0" xfId="0" applyFill="1" applyAlignment="1" quotePrefix="1">
      <alignment horizontal="right"/>
    </xf>
    <xf numFmtId="0" fontId="6" fillId="7" borderId="0" xfId="0" applyNumberFormat="1" applyFont="1" applyFill="1" applyAlignment="1">
      <alignment horizontal="center"/>
    </xf>
    <xf numFmtId="49" fontId="6" fillId="7" borderId="0" xfId="0" applyNumberFormat="1" applyFont="1" applyFill="1" applyAlignment="1" quotePrefix="1">
      <alignment horizontal="center"/>
    </xf>
    <xf numFmtId="0" fontId="0" fillId="7" borderId="0" xfId="0" applyFill="1" applyAlignment="1">
      <alignment horizontal="right"/>
    </xf>
    <xf numFmtId="0" fontId="7" fillId="13" borderId="0" xfId="0" applyFont="1" applyFill="1" applyAlignment="1">
      <alignment horizontal="center"/>
    </xf>
    <xf numFmtId="0" fontId="46" fillId="13" borderId="0" xfId="0" applyFont="1" applyFill="1" applyAlignment="1">
      <alignment horizontal="center"/>
    </xf>
    <xf numFmtId="164" fontId="0" fillId="0" borderId="0" xfId="0" applyNumberFormat="1" applyFill="1" applyAlignment="1">
      <alignment/>
    </xf>
    <xf numFmtId="9" fontId="0" fillId="33" borderId="0" xfId="57" applyFont="1" applyFill="1" applyBorder="1" applyAlignment="1">
      <alignment/>
    </xf>
    <xf numFmtId="0" fontId="0" fillId="0" borderId="18" xfId="0" applyFont="1" applyFill="1" applyBorder="1" applyAlignment="1">
      <alignment horizontal="right"/>
    </xf>
    <xf numFmtId="0" fontId="7" fillId="5" borderId="19" xfId="0" applyNumberFormat="1" applyFont="1" applyFill="1" applyBorder="1" applyAlignment="1">
      <alignment/>
    </xf>
    <xf numFmtId="0" fontId="46" fillId="0" borderId="0" xfId="0" applyFont="1" applyFill="1" applyBorder="1" applyAlignment="1">
      <alignment/>
    </xf>
    <xf numFmtId="9" fontId="46" fillId="0" borderId="0" xfId="0" applyNumberFormat="1" applyFont="1" applyAlignment="1">
      <alignment horizontal="center"/>
    </xf>
    <xf numFmtId="9" fontId="43" fillId="17" borderId="0" xfId="0" applyNumberFormat="1" applyFont="1" applyFill="1" applyAlignment="1">
      <alignment/>
    </xf>
    <xf numFmtId="167" fontId="47" fillId="0" borderId="0" xfId="0" applyNumberFormat="1" applyFont="1" applyAlignment="1">
      <alignment/>
    </xf>
    <xf numFmtId="0" fontId="46" fillId="0" borderId="0" xfId="0" applyFont="1" applyFill="1" applyAlignment="1">
      <alignment/>
    </xf>
    <xf numFmtId="1" fontId="7" fillId="34" borderId="0" xfId="0" applyNumberFormat="1" applyFont="1" applyFill="1" applyBorder="1" applyAlignment="1">
      <alignment/>
    </xf>
    <xf numFmtId="164" fontId="46" fillId="34" borderId="0" xfId="0" applyNumberFormat="1" applyFont="1" applyFill="1" applyBorder="1" applyAlignment="1">
      <alignment/>
    </xf>
    <xf numFmtId="164" fontId="46" fillId="34" borderId="0" xfId="57" applyNumberFormat="1" applyFont="1" applyFill="1" applyBorder="1" applyAlignment="1">
      <alignment/>
    </xf>
    <xf numFmtId="9" fontId="0" fillId="34" borderId="0" xfId="57" applyFont="1" applyFill="1" applyBorder="1" applyAlignment="1">
      <alignment/>
    </xf>
    <xf numFmtId="0" fontId="0" fillId="34" borderId="0" xfId="0" applyNumberFormat="1" applyFill="1" applyBorder="1" applyAlignment="1">
      <alignment horizontal="left"/>
    </xf>
    <xf numFmtId="1" fontId="0" fillId="33" borderId="20" xfId="0" applyNumberFormat="1" applyFill="1" applyBorder="1" applyAlignment="1">
      <alignment/>
    </xf>
    <xf numFmtId="1" fontId="0" fillId="33" borderId="21" xfId="0" applyNumberFormat="1" applyFill="1" applyBorder="1" applyAlignment="1">
      <alignment/>
    </xf>
    <xf numFmtId="1" fontId="0" fillId="33" borderId="22" xfId="0" applyNumberFormat="1" applyFill="1" applyBorder="1" applyAlignment="1">
      <alignment/>
    </xf>
    <xf numFmtId="1" fontId="0" fillId="33" borderId="23" xfId="0" applyNumberFormat="1" applyFill="1" applyBorder="1" applyAlignment="1">
      <alignment/>
    </xf>
    <xf numFmtId="1" fontId="0" fillId="33" borderId="0" xfId="0" applyNumberFormat="1" applyFill="1" applyBorder="1" applyAlignment="1">
      <alignment/>
    </xf>
    <xf numFmtId="1" fontId="0" fillId="33" borderId="24" xfId="0" applyNumberFormat="1" applyFill="1" applyBorder="1" applyAlignment="1">
      <alignment/>
    </xf>
    <xf numFmtId="1" fontId="0" fillId="33" borderId="25" xfId="0" applyNumberFormat="1" applyFill="1" applyBorder="1" applyAlignment="1">
      <alignment/>
    </xf>
    <xf numFmtId="1" fontId="0" fillId="33" borderId="26" xfId="0" applyNumberFormat="1" applyFill="1" applyBorder="1" applyAlignment="1">
      <alignment/>
    </xf>
    <xf numFmtId="1" fontId="0" fillId="33" borderId="27" xfId="0" applyNumberFormat="1" applyFill="1" applyBorder="1" applyAlignment="1">
      <alignment/>
    </xf>
    <xf numFmtId="0" fontId="7" fillId="33" borderId="18" xfId="0" applyFont="1" applyFill="1" applyBorder="1" applyAlignment="1" quotePrefix="1">
      <alignment horizontal="right"/>
    </xf>
    <xf numFmtId="0" fontId="7" fillId="33" borderId="28" xfId="0" applyNumberFormat="1" applyFont="1" applyFill="1" applyBorder="1" applyAlignment="1">
      <alignment/>
    </xf>
    <xf numFmtId="0" fontId="7" fillId="17" borderId="0" xfId="0" applyNumberFormat="1" applyFont="1" applyFill="1" applyAlignment="1">
      <alignment/>
    </xf>
    <xf numFmtId="9" fontId="0" fillId="34" borderId="0" xfId="57" applyFont="1" applyFill="1" applyAlignment="1">
      <alignment/>
    </xf>
    <xf numFmtId="0" fontId="46" fillId="0" borderId="0" xfId="0" applyFont="1" applyFill="1" applyBorder="1" applyAlignment="1">
      <alignment horizontal="left"/>
    </xf>
    <xf numFmtId="0" fontId="0" fillId="7" borderId="29" xfId="0" applyNumberFormat="1" applyFont="1" applyFill="1" applyBorder="1" applyAlignment="1">
      <alignment horizont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17" borderId="0" xfId="0" applyNumberFormat="1" applyFill="1" applyBorder="1" applyAlignment="1">
      <alignment horizontal="left"/>
    </xf>
    <xf numFmtId="1" fontId="0" fillId="0" borderId="0" xfId="0" applyNumberFormat="1" applyBorder="1" applyAlignment="1">
      <alignment horizontal="right"/>
    </xf>
    <xf numFmtId="49" fontId="0" fillId="0" borderId="0" xfId="0" applyNumberFormat="1" applyFill="1" applyBorder="1" applyAlignment="1">
      <alignment horizontal="right"/>
    </xf>
    <xf numFmtId="0" fontId="0" fillId="13" borderId="0" xfId="0" applyNumberFormat="1" applyFill="1" applyBorder="1" applyAlignment="1">
      <alignment horizontal="right"/>
    </xf>
    <xf numFmtId="49" fontId="0" fillId="0" borderId="0" xfId="0" applyNumberFormat="1" applyFill="1" applyBorder="1" applyAlignment="1">
      <alignment horizontal="left"/>
    </xf>
    <xf numFmtId="0" fontId="0" fillId="0" borderId="0" xfId="0" applyFill="1" applyBorder="1" applyAlignment="1">
      <alignment horizontal="right"/>
    </xf>
    <xf numFmtId="0" fontId="0" fillId="0" borderId="0" xfId="0" applyBorder="1" applyAlignment="1">
      <alignment horizontal="left"/>
    </xf>
    <xf numFmtId="0" fontId="0" fillId="0" borderId="0" xfId="0" applyBorder="1" applyAlignment="1">
      <alignment/>
    </xf>
    <xf numFmtId="9" fontId="0" fillId="0" borderId="37" xfId="0" applyNumberFormat="1" applyBorder="1" applyAlignment="1">
      <alignment/>
    </xf>
    <xf numFmtId="0" fontId="48" fillId="0" borderId="0" xfId="0" applyFont="1" applyBorder="1" applyAlignment="1">
      <alignment/>
    </xf>
    <xf numFmtId="0" fontId="0" fillId="5" borderId="0" xfId="0" applyFill="1" applyAlignment="1">
      <alignment horizontal="center" vertical="center" wrapText="1"/>
    </xf>
    <xf numFmtId="0" fontId="0" fillId="7" borderId="0" xfId="0" applyFill="1" applyAlignment="1">
      <alignment horizontal="center"/>
    </xf>
    <xf numFmtId="0" fontId="0" fillId="34" borderId="0" xfId="0" applyFill="1" applyBorder="1" applyAlignment="1">
      <alignment horizontal="center"/>
    </xf>
    <xf numFmtId="0" fontId="0" fillId="0" borderId="26" xfId="0" applyBorder="1" applyAlignment="1">
      <alignment horizontal="center"/>
    </xf>
    <xf numFmtId="0" fontId="0" fillId="0" borderId="39" xfId="0" applyBorder="1" applyAlignment="1">
      <alignment horizontal="center"/>
    </xf>
    <xf numFmtId="0" fontId="0" fillId="0" borderId="40"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theme="5"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228600</xdr:colOff>
      <xdr:row>0</xdr:row>
      <xdr:rowOff>104775</xdr:rowOff>
    </xdr:from>
    <xdr:to>
      <xdr:col>40</xdr:col>
      <xdr:colOff>476250</xdr:colOff>
      <xdr:row>62</xdr:row>
      <xdr:rowOff>0</xdr:rowOff>
    </xdr:to>
    <xdr:sp>
      <xdr:nvSpPr>
        <xdr:cNvPr id="1" name="TextBox 6"/>
        <xdr:cNvSpPr txBox="1">
          <a:spLocks noChangeArrowheads="1"/>
        </xdr:cNvSpPr>
      </xdr:nvSpPr>
      <xdr:spPr>
        <a:xfrm>
          <a:off x="17021175" y="104775"/>
          <a:ext cx="9772650" cy="1188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Description
</a:t>
          </a:r>
          <a:r>
            <a:rPr lang="en-US" cap="none" sz="1400" b="0" i="0" u="none" baseline="0">
              <a:solidFill>
                <a:srgbClr val="000000"/>
              </a:solidFill>
              <a:latin typeface="Calibri"/>
              <a:ea typeface="Calibri"/>
              <a:cs typeface="Calibri"/>
            </a:rPr>
            <a:t>   The sheet evaluates a "near DoF" parameter for Micro Four-Thirds (MFT)</a:t>
          </a:r>
          <a:r>
            <a:rPr lang="en-US" cap="none" sz="1400" b="0" i="0" u="none" baseline="0">
              <a:solidFill>
                <a:srgbClr val="000000"/>
              </a:solidFill>
              <a:latin typeface="Calibri"/>
              <a:ea typeface="Calibri"/>
              <a:cs typeface="Calibri"/>
            </a:rPr>
            <a:t> lenses</a:t>
          </a:r>
          <a:r>
            <a:rPr lang="en-US" cap="none" sz="1400" b="0" i="0" u="none" baseline="0">
              <a:solidFill>
                <a:srgbClr val="000000"/>
              </a:solidFill>
              <a:latin typeface="Calibri"/>
              <a:ea typeface="Calibri"/>
              <a:cs typeface="Calibri"/>
            </a:rPr>
            <a:t>, a number which gives a rule-of-thumb estimate for the depth of field in front of the subject.  The parameter is the number of millimetres of the near DoF (ND) per metre of subject distance per aperture f</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Because DoF is not a simple linear function of aperture f and subject distance, and is more a quadratic function of distance, the ND parameter requires an adjustment for subject distance.
</a:t>
          </a:r>
          <a:r>
            <a:rPr lang="en-US" cap="none" sz="1400" b="0" i="0" u="none" baseline="0">
              <a:solidFill>
                <a:srgbClr val="000000"/>
              </a:solidFill>
              <a:latin typeface="Calibri"/>
              <a:ea typeface="Calibri"/>
              <a:cs typeface="Calibri"/>
            </a:rPr>
            <a:t>   For example, consider a 17 mm lens with a ND parameter NDp = 45 (cell E14) and a subject distance adjustment SDA = 35 (cell E15).  If the subject is 3m away, the adjusted parameter, NDp', would be 45 + (3-1)*35 = 115.
</a:t>
          </a:r>
          <a:r>
            <a:rPr lang="en-US" cap="none" sz="1400" b="0" i="0" u="none" baseline="0">
              <a:solidFill>
                <a:srgbClr val="000000"/>
              </a:solidFill>
              <a:latin typeface="Calibri"/>
              <a:ea typeface="Calibri"/>
              <a:cs typeface="Calibri"/>
            </a:rPr>
            <a:t>   Consider the lens is set at f/2.  Now the estimated near DoF is the adjusted parameter multiplied by the aperture f and multipled by the subject distance:  ND est = 115 * 2 * 3 = 690 mm.
</a:t>
          </a:r>
          <a:r>
            <a:rPr lang="en-US" cap="none" sz="1400" b="0" i="0" u="none" baseline="0">
              <a:solidFill>
                <a:srgbClr val="000000"/>
              </a:solidFill>
              <a:latin typeface="Calibri"/>
              <a:ea typeface="Calibri"/>
              <a:cs typeface="Calibri"/>
            </a:rPr>
            <a:t>   The actual ND for a 17 mm lens at f/2 with a subject at 3m is shown as 712 mm in the 'Near DoF' table, and in the 'ND rel err' table a little lower down the error in this estimate is shown as -3%.  In general, errors are not that low;  the RMS error for this particular use case scenario is calculated to be 10% (cell E17), with a maximum (worst case) error of 23% (cell E18).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Steps in using the sheet
</a:t>
          </a:r>
          <a:r>
            <a:rPr lang="en-US" cap="none" sz="1400" b="0" i="0" u="none" baseline="0">
              <a:solidFill>
                <a:srgbClr val="000000"/>
              </a:solidFill>
              <a:latin typeface="Calibri"/>
              <a:ea typeface="Calibri"/>
              <a:cs typeface="Calibri"/>
            </a:rPr>
            <a:t>   (1) </a:t>
          </a:r>
          <a:r>
            <a:rPr lang="en-US" cap="none" sz="1400" b="0" i="0" u="sng" baseline="0">
              <a:solidFill>
                <a:srgbClr val="000000"/>
              </a:solidFill>
              <a:latin typeface="Calibri"/>
              <a:ea typeface="Calibri"/>
              <a:cs typeface="Calibri"/>
            </a:rPr>
            <a:t>Set the lens details</a:t>
          </a:r>
          <a:r>
            <a:rPr lang="en-US" cap="none" sz="1400" b="0" i="0" u="none" baseline="0">
              <a:solidFill>
                <a:srgbClr val="000000"/>
              </a:solidFill>
              <a:latin typeface="Calibri"/>
              <a:ea typeface="Calibri"/>
              <a:cs typeface="Calibri"/>
            </a:rPr>
            <a:t>.  Place the focal length in D5,</a:t>
          </a:r>
          <a:r>
            <a:rPr lang="en-US" cap="none" sz="1400" b="0" i="0" u="none" baseline="0">
              <a:solidFill>
                <a:srgbClr val="000000"/>
              </a:solidFill>
              <a:latin typeface="Calibri"/>
              <a:ea typeface="Calibri"/>
              <a:cs typeface="Calibri"/>
            </a:rPr>
            <a:t> the lens' largest aperture in I5, its minimum focus distance in I6, and optionally a lens description in M5.  For example, the Oly 17/1.2 Pro values are 17, 1.2, and 0.2 respectively.  
</a:t>
          </a:r>
          <a:r>
            <a:rPr lang="en-US" cap="none" sz="1400" b="0" i="0" u="none" baseline="0">
              <a:solidFill>
                <a:srgbClr val="000000"/>
              </a:solidFill>
              <a:latin typeface="Calibri"/>
              <a:ea typeface="Calibri"/>
              <a:cs typeface="Calibri"/>
            </a:rPr>
            <a:t>   The sheet looks up the hyperfocal distances (H) at various lens apertures and shows them in row 10.  The sheet suggests a parameter for H in cell D9, for example 19 m, being the hyperfocal distance per inverse f ratio.  For a 17 mm lens, the hyperfocal distance is approximately 19.3 m at f/1, dropping to 16.1 at f/1.2, 9.6 m at f/2 and 4.8 at f/4.
</a:t>
          </a:r>
          <a:r>
            <a:rPr lang="en-US" cap="none" sz="1400" b="0" i="0" u="none" baseline="0">
              <a:solidFill>
                <a:srgbClr val="000000"/>
              </a:solidFill>
              <a:latin typeface="Calibri"/>
              <a:ea typeface="Calibri"/>
              <a:cs typeface="Calibri"/>
            </a:rPr>
            <a:t>   Using H, the sheet calculates the actual near DoF for various apertures and subject distances and shows these values in the table 'Near DoF (ND)'.  The Near DoF plane, the distance from the lens to the start of the near DoF, is given by the simple formula H*sd/(H+sd), and near DoF is thus H*sd/(H+sd)-sd.  The hyperfocal distance depends on the circle of confusion, by convention set at 0.000015.  This can be changed in cell I9.
</a:t>
          </a:r>
          <a:r>
            <a:rPr lang="en-US" cap="none" sz="1400" b="0" i="0" u="none" baseline="0">
              <a:solidFill>
                <a:srgbClr val="000000"/>
              </a:solidFill>
              <a:latin typeface="Calibri"/>
              <a:ea typeface="Calibri"/>
              <a:cs typeface="Calibri"/>
            </a:rPr>
            <a:t>   (2) </a:t>
          </a:r>
          <a:r>
            <a:rPr lang="en-US" cap="none" sz="1400" b="0" i="0" u="sng" baseline="0">
              <a:solidFill>
                <a:srgbClr val="000000"/>
              </a:solidFill>
              <a:latin typeface="Calibri"/>
              <a:ea typeface="Calibri"/>
              <a:cs typeface="Calibri"/>
            </a:rPr>
            <a:t>Decide on the particular use case scenario</a:t>
          </a:r>
          <a:r>
            <a:rPr lang="en-US" cap="none" sz="1400" b="0" i="0" u="none" baseline="0">
              <a:solidFill>
                <a:srgbClr val="000000"/>
              </a:solidFill>
              <a:latin typeface="Calibri"/>
              <a:ea typeface="Calibri"/>
              <a:cs typeface="Calibri"/>
            </a:rPr>
            <a:t>.   The use case switch determines which combinations of 'f' and 'sd' are used in estimating errors.  When switch = 0, the whole use case table is used.  When switch =  1 or = 2, combinations selected using 'X' and '#', or just '#', are used.  Make the use case combination selections at E34 to M43.   The error advisory table provides an alert if a use case includes an aperture brighter than the lens maximum, or a subject distance less than the lens minimum.
</a:t>
          </a:r>
          <a:r>
            <a:rPr lang="en-US" cap="none" sz="1400" b="0" i="0" u="none" baseline="0">
              <a:solidFill>
                <a:srgbClr val="000000"/>
              </a:solidFill>
              <a:latin typeface="Calibri"/>
              <a:ea typeface="Calibri"/>
              <a:cs typeface="Calibri"/>
            </a:rPr>
            <a:t>   Notice that the use case table starts with the lens maximum aperture and minimum focus distance as entered in step (1).  Then, the aperture f stops are sequenced, starting with the f in cell I31, in either full stop (1/1), half stop (1/2), or one-third stop (1/3) increments, as set in cell K31.  The subject distances are sequenced continuing from the minimum focus distance with the value calculated in cell C39, and incrementing to a value near the hyperfocal distance as calculated using C41.  It is possible to overwrite the I31 and C39 values with your own numbers, but do this on a copy of the spreadsheet, keeping the formulae in the original.
</a:t>
          </a:r>
          <a:r>
            <a:rPr lang="en-US" cap="none" sz="1400" b="0" i="0" u="none" baseline="0">
              <a:solidFill>
                <a:srgbClr val="000000"/>
              </a:solidFill>
              <a:latin typeface="Calibri"/>
              <a:ea typeface="Calibri"/>
              <a:cs typeface="Calibri"/>
            </a:rPr>
            <a:t>   (3)(a) </a:t>
          </a:r>
          <a:r>
            <a:rPr lang="en-US" cap="none" sz="1400" b="0" i="0" u="sng" baseline="0">
              <a:solidFill>
                <a:srgbClr val="000000"/>
              </a:solidFill>
              <a:latin typeface="Calibri"/>
              <a:ea typeface="Calibri"/>
              <a:cs typeface="Calibri"/>
            </a:rPr>
            <a:t>Either enter estimates </a:t>
          </a:r>
          <a:r>
            <a:rPr lang="en-US" cap="none" sz="1400" b="0" i="0" u="none" baseline="0">
              <a:solidFill>
                <a:srgbClr val="000000"/>
              </a:solidFill>
              <a:latin typeface="Calibri"/>
              <a:ea typeface="Calibri"/>
              <a:cs typeface="Calibri"/>
            </a:rPr>
            <a:t>of the unadjusted near DoF parameter 'NDp' in cell E14, and of the subject distance adjustment 'SDA' in cell E15.  A good start for both would be the value of the near DoF when sd = 1 and f/1. Some nearby values are shown in the Near DoF table, for example, for a 17 mm lens, this is 48 at f1.2 and 0.9 metres, so an initial estimate of 40 or 50 would be good.
</a:t>
          </a:r>
          <a:r>
            <a:rPr lang="en-US" cap="none" sz="1400" b="0" i="0" u="none" baseline="0">
              <a:solidFill>
                <a:srgbClr val="000000"/>
              </a:solidFill>
              <a:latin typeface="Calibri"/>
              <a:ea typeface="Calibri"/>
              <a:cs typeface="Calibri"/>
            </a:rPr>
            <a:t>        (b) </a:t>
          </a:r>
          <a:r>
            <a:rPr lang="en-US" cap="none" sz="1400" b="0" i="0" u="sng" baseline="0">
              <a:solidFill>
                <a:srgbClr val="000000"/>
              </a:solidFill>
              <a:latin typeface="Calibri"/>
              <a:ea typeface="Calibri"/>
              <a:cs typeface="Calibri"/>
            </a:rPr>
            <a:t>Or use the Excel 'Solver' add-in</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to calculate optimised values for NDp and SDA.  Ask Solver to minimise RMS error (cell E17) by changing E14 and E15.  (If Solver gives an error, minimise Max error in cell E18 instead.)
</a:t>
          </a:r>
          <a:r>
            <a:rPr lang="en-US" cap="none" sz="1400" b="0" i="0" u="none" baseline="0">
              <a:solidFill>
                <a:srgbClr val="000000"/>
              </a:solidFill>
              <a:latin typeface="Calibri"/>
              <a:ea typeface="Calibri"/>
              <a:cs typeface="Calibri"/>
            </a:rPr>
            <a:t>   (4) </a:t>
          </a:r>
          <a:r>
            <a:rPr lang="en-US" cap="none" sz="1400" b="0" i="0" u="sng" baseline="0">
              <a:solidFill>
                <a:srgbClr val="000000"/>
              </a:solidFill>
              <a:latin typeface="Calibri"/>
              <a:ea typeface="Calibri"/>
              <a:cs typeface="Calibri"/>
            </a:rPr>
            <a:t>Review the results</a:t>
          </a:r>
          <a:r>
            <a:rPr lang="en-US" cap="none" sz="1400" b="0" i="0" u="none" baseline="0">
              <a:solidFill>
                <a:srgbClr val="000000"/>
              </a:solidFill>
              <a:latin typeface="Calibri"/>
              <a:ea typeface="Calibri"/>
              <a:cs typeface="Calibri"/>
            </a:rPr>
            <a:t>.  The sheet suggests some 'nice' rounded values for NDp and SDA in cells N14 and N15 which may be better for mental arithmetic in the field.  If you like, enter these values, or something similar, into the NDp and SDA cells (E14 and E15).
</a:t>
          </a:r>
          <a:r>
            <a:rPr lang="en-US" cap="none" sz="1400" b="0" i="0" u="none" baseline="0">
              <a:solidFill>
                <a:srgbClr val="000000"/>
              </a:solidFill>
              <a:latin typeface="Calibri"/>
              <a:ea typeface="Calibri"/>
              <a:cs typeface="Calibri"/>
            </a:rPr>
            <a:t>   The sheet displays RMS error and Max error for the NDp and SDA values used, assuming the use case set by the switch in cell C24.  The sheet also displays the average under- or over-estimate of the selected use case combinations in cell E20, and comments on the balance between under- and over-estimates in cell I20.  The cut-off value for judging "generally balanced" is set in cell H20.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The relative error table shows when the errors are under- (negative) or over-estimates (positive).  </a:t>
          </a:r>
          <a:r>
            <a:rPr lang="en-US" cap="none" sz="1400" b="0" i="0" u="sng" baseline="0">
              <a:solidFill>
                <a:srgbClr val="000000"/>
              </a:solidFill>
              <a:latin typeface="Calibri"/>
              <a:ea typeface="Calibri"/>
              <a:cs typeface="Calibri"/>
            </a:rPr>
            <a:t>Importantly</a:t>
          </a:r>
          <a:r>
            <a:rPr lang="en-US" cap="none" sz="1400" b="0" i="0" u="none" baseline="0">
              <a:solidFill>
                <a:srgbClr val="000000"/>
              </a:solidFill>
              <a:latin typeface="Calibri"/>
              <a:ea typeface="Calibri"/>
              <a:cs typeface="Calibri"/>
            </a:rPr>
            <a:t>, error is calculated relative to the smaller of the values of ND or estimated ND.  This ensures that ND under-estimate errors are weighted more heavily than over-estimate errors.
</a:t>
          </a:r>
          <a:r>
            <a:rPr lang="en-US" cap="none" sz="1400" b="0" i="0" u="none" baseline="0">
              <a:solidFill>
                <a:srgbClr val="000000"/>
              </a:solidFill>
              <a:latin typeface="Calibri"/>
              <a:ea typeface="Calibri"/>
              <a:cs typeface="Calibri"/>
            </a:rPr>
            <a:t>   For more convenient mental arithmetic, at the cost of higher error, set the SDA equal to NDp and solve for an optimised value of NDp alone.  Enter '=E14' in cell E15.  For example, when NDp = SDA = 40, RMS error = 17% and Max error = 33% (was 10% and 23%).
</a:t>
          </a:r>
          <a:r>
            <a:rPr lang="en-US" cap="none" sz="1400" b="0" i="0" u="none" baseline="0">
              <a:solidFill>
                <a:srgbClr val="000000"/>
              </a:solidFill>
              <a:latin typeface="Calibri"/>
              <a:ea typeface="Calibri"/>
              <a:cs typeface="Calibri"/>
            </a:rPr>
            <a:t>   In the use case table, the colour representation of hyperfocal distances against subject distances for given apertures is somewhat fragile.  It depends on conditional formatting of cells, which will be knocked awry if cell contents are copied and pasted with &lt;CTRL&gt;&lt;C&gt; and &lt;V&gt;.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LVER\SOLVE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verCode"/>
      <sheetName val="VBA_Functions"/>
      <sheetName val="Report"/>
      <sheetName val="Language"/>
      <sheetName val="Solver_dialog"/>
      <sheetName val="Add_dialog"/>
      <sheetName val="Save_dialo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06"/>
  <sheetViews>
    <sheetView showGridLines="0" tabSelected="1" zoomScale="70" zoomScaleNormal="70" zoomScalePageLayoutView="0" workbookViewId="0" topLeftCell="A1">
      <selection activeCell="A1" sqref="A1"/>
    </sheetView>
  </sheetViews>
  <sheetFormatPr defaultColWidth="9.140625" defaultRowHeight="15"/>
  <cols>
    <col min="1" max="1" width="5.7109375" style="0" customWidth="1"/>
    <col min="2" max="2" width="19.00390625" style="0" customWidth="1"/>
    <col min="3" max="3" width="15.8515625" style="0" customWidth="1"/>
    <col min="4" max="4" width="7.8515625" style="0" customWidth="1"/>
    <col min="5" max="13" width="9.00390625" style="0" customWidth="1"/>
    <col min="14" max="14" width="7.57421875" style="0" customWidth="1"/>
    <col min="15" max="15" width="2.421875" style="0" customWidth="1"/>
    <col min="16" max="16" width="20.28125" style="0" customWidth="1"/>
    <col min="17" max="17" width="6.00390625" style="0" customWidth="1"/>
    <col min="18" max="26" width="9.57421875" style="0" customWidth="1"/>
    <col min="29" max="36" width="11.00390625" style="0" customWidth="1"/>
  </cols>
  <sheetData>
    <row r="1" spans="1:27" s="35" customFormat="1" ht="29.25" customHeight="1">
      <c r="A1" s="34" t="s">
        <v>15</v>
      </c>
      <c r="AA1" s="36"/>
    </row>
    <row r="2" spans="3:26" ht="15">
      <c r="C2" t="s">
        <v>14</v>
      </c>
      <c r="F2" s="3" t="s">
        <v>75</v>
      </c>
      <c r="H2" s="110" t="s">
        <v>76</v>
      </c>
      <c r="I2" s="110"/>
      <c r="R2" s="83">
        <f aca="true" t="shared" si="0" ref="R2:Z2">E33</f>
        <v>1.2</v>
      </c>
      <c r="S2" s="83">
        <f t="shared" si="0"/>
        <v>1.4</v>
      </c>
      <c r="T2" s="83">
        <f t="shared" si="0"/>
        <v>1.7</v>
      </c>
      <c r="U2" s="83">
        <f t="shared" si="0"/>
        <v>2</v>
      </c>
      <c r="V2" s="83">
        <f t="shared" si="0"/>
        <v>2.4</v>
      </c>
      <c r="W2" s="83">
        <f t="shared" si="0"/>
        <v>2.8</v>
      </c>
      <c r="X2" s="83">
        <f t="shared" si="0"/>
        <v>3.3</v>
      </c>
      <c r="Y2" s="83">
        <f t="shared" si="0"/>
        <v>4</v>
      </c>
      <c r="Z2" s="83">
        <f t="shared" si="0"/>
        <v>4.8</v>
      </c>
    </row>
    <row r="3" spans="16:27" ht="15">
      <c r="P3" s="21" t="s">
        <v>6</v>
      </c>
      <c r="Q3" s="84">
        <f aca="true" t="shared" si="1" ref="Q3:Q12">D34</f>
        <v>0.2</v>
      </c>
      <c r="R3" s="74">
        <f aca="true" t="shared" si="2" ref="R3:R12">IF(ISNUMBER(R$2),1000*($Q3-(E$11*$Q3/(E$11+$Q3))),"")</f>
        <v>2.460697197539302</v>
      </c>
      <c r="S3" s="75">
        <f aca="true" t="shared" si="3" ref="S3:S12">IF(ISNUMBER(S$2),1000*($Q3-(F$11*$Q3/(F$11+$Q3))),"")</f>
        <v>2.8649386084583783</v>
      </c>
      <c r="T3" s="75">
        <f aca="true" t="shared" si="4" ref="T3:T12">IF(ISNUMBER(T$2),1000*($Q3-(G$11*$Q3/(G$11+$Q3))),"")</f>
        <v>3.4682080924855194</v>
      </c>
      <c r="U3" s="75">
        <f aca="true" t="shared" si="5" ref="U3:U12">IF(ISNUMBER(U$2),1000*($Q3-(H$11*$Q3/(H$11+$Q3))),"")</f>
        <v>4.0677966101694825</v>
      </c>
      <c r="V3" s="75">
        <f aca="true" t="shared" si="6" ref="V3:V12">IF(ISNUMBER(V$2),1000*($Q3-(I$11*$Q3/(I$11+$Q3))),"")</f>
        <v>4.861580013504368</v>
      </c>
      <c r="W3" s="75">
        <f aca="true" t="shared" si="7" ref="W3:W12">IF(ISNUMBER(W$2),1000*($Q3-(J$11*$Q3/(J$11+$Q3))),"")</f>
        <v>5.648957632817753</v>
      </c>
      <c r="X3" s="75">
        <f aca="true" t="shared" si="8" ref="X3:X12">IF(ISNUMBER(X$2),1000*($Q3-(K$11*$Q3/(K$11+$Q3))),"")</f>
        <v>6.624289059886268</v>
      </c>
      <c r="Y3" s="75">
        <f aca="true" t="shared" si="9" ref="Y3:Y12">IF(ISNUMBER(Y$2),1000*($Q3-(L$11*$Q3/(L$11+$Q3))),"")</f>
        <v>7.973421926910307</v>
      </c>
      <c r="Z3" s="76">
        <f aca="true" t="shared" si="10" ref="Z3:Z12">IF(ISNUMBER(Z$2),1000*($Q3-(M$11*$Q3/(M$11+$Q3))),"")</f>
        <v>9.49241924851682</v>
      </c>
      <c r="AA3" s="4"/>
    </row>
    <row r="4" spans="16:30" ht="15">
      <c r="P4" s="1" t="s">
        <v>39</v>
      </c>
      <c r="Q4" s="84">
        <f t="shared" si="1"/>
        <v>0.25</v>
      </c>
      <c r="R4" s="77">
        <f t="shared" si="2"/>
        <v>3.8330494037478733</v>
      </c>
      <c r="S4" s="78">
        <f t="shared" si="3"/>
        <v>4.4604927782497805</v>
      </c>
      <c r="T4" s="78">
        <f t="shared" si="4"/>
        <v>5.395683453237404</v>
      </c>
      <c r="U4" s="78">
        <f t="shared" si="5"/>
        <v>6.323777403035413</v>
      </c>
      <c r="V4" s="78">
        <f t="shared" si="6"/>
        <v>7.550335570469802</v>
      </c>
      <c r="W4" s="78">
        <f t="shared" si="7"/>
        <v>8.764607679465769</v>
      </c>
      <c r="X4" s="78">
        <f t="shared" si="8"/>
        <v>10.265450020738282</v>
      </c>
      <c r="Y4" s="78">
        <f t="shared" si="9"/>
        <v>12.335526315789464</v>
      </c>
      <c r="Z4" s="79">
        <f t="shared" si="10"/>
        <v>14.657980456026065</v>
      </c>
      <c r="AA4" s="2"/>
      <c r="AD4" s="20"/>
    </row>
    <row r="5" spans="1:36" ht="15">
      <c r="A5" s="21" t="s">
        <v>65</v>
      </c>
      <c r="C5" s="1" t="s">
        <v>0</v>
      </c>
      <c r="D5" s="64">
        <v>17</v>
      </c>
      <c r="E5" t="s">
        <v>12</v>
      </c>
      <c r="F5" s="1"/>
      <c r="H5" s="1" t="s">
        <v>25</v>
      </c>
      <c r="I5" s="68">
        <v>1.2</v>
      </c>
      <c r="J5" t="s">
        <v>4</v>
      </c>
      <c r="L5" s="1" t="s">
        <v>10</v>
      </c>
      <c r="M5" s="3" t="s">
        <v>32</v>
      </c>
      <c r="P5" s="1" t="s">
        <v>13</v>
      </c>
      <c r="Q5" s="84">
        <f t="shared" si="1"/>
        <v>0.5</v>
      </c>
      <c r="R5" s="77">
        <f t="shared" si="2"/>
        <v>15.100671140939603</v>
      </c>
      <c r="S5" s="78">
        <f t="shared" si="3"/>
        <v>17.529215358931538</v>
      </c>
      <c r="T5" s="78">
        <f t="shared" si="4"/>
        <v>21.12676056338025</v>
      </c>
      <c r="U5" s="78">
        <f t="shared" si="5"/>
        <v>24.671052631578927</v>
      </c>
      <c r="V5" s="78">
        <f t="shared" si="6"/>
        <v>29.31596091205213</v>
      </c>
      <c r="W5" s="78">
        <f t="shared" si="7"/>
        <v>33.87096774193549</v>
      </c>
      <c r="X5" s="78">
        <f t="shared" si="8"/>
        <v>39.44223107569722</v>
      </c>
      <c r="Y5" s="78">
        <f t="shared" si="9"/>
        <v>47.02194357366768</v>
      </c>
      <c r="Z5" s="79">
        <f t="shared" si="10"/>
        <v>55.384615384615365</v>
      </c>
      <c r="AA5" s="2"/>
      <c r="AC5" s="22"/>
      <c r="AD5" s="22"/>
      <c r="AE5" s="22"/>
      <c r="AF5" s="22"/>
      <c r="AG5" s="22"/>
      <c r="AH5" s="22"/>
      <c r="AI5" s="22"/>
      <c r="AJ5" s="22"/>
    </row>
    <row r="6" spans="8:36" ht="15">
      <c r="H6" s="1" t="s">
        <v>24</v>
      </c>
      <c r="I6" s="68">
        <v>0.2</v>
      </c>
      <c r="J6" t="s">
        <v>23</v>
      </c>
      <c r="Q6" s="84">
        <f t="shared" si="1"/>
        <v>0.9</v>
      </c>
      <c r="R6" s="77">
        <f t="shared" si="2"/>
        <v>47.771952817824314</v>
      </c>
      <c r="S6" s="78">
        <f t="shared" si="3"/>
        <v>55.245209483598565</v>
      </c>
      <c r="T6" s="78">
        <f t="shared" si="4"/>
        <v>66.21253405994554</v>
      </c>
      <c r="U6" s="78">
        <f t="shared" si="5"/>
        <v>76.89873417721516</v>
      </c>
      <c r="V6" s="78">
        <f t="shared" si="6"/>
        <v>90.72806471686378</v>
      </c>
      <c r="W6" s="78">
        <f t="shared" si="7"/>
        <v>104.10036719706251</v>
      </c>
      <c r="X6" s="78">
        <f t="shared" si="8"/>
        <v>120.20686553740067</v>
      </c>
      <c r="Y6" s="78">
        <f t="shared" si="9"/>
        <v>141.69096209912536</v>
      </c>
      <c r="Z6" s="79">
        <f t="shared" si="10"/>
        <v>164.83889202939517</v>
      </c>
      <c r="AA6" s="2"/>
      <c r="AC6" s="22"/>
      <c r="AD6" s="22"/>
      <c r="AE6" s="22"/>
      <c r="AF6" s="22"/>
      <c r="AG6" s="22"/>
      <c r="AH6" s="22"/>
      <c r="AI6" s="22"/>
      <c r="AJ6" s="22"/>
    </row>
    <row r="7" spans="17:36" ht="15">
      <c r="Q7" s="84">
        <f t="shared" si="1"/>
        <v>1.6</v>
      </c>
      <c r="R7" s="77">
        <f t="shared" si="2"/>
        <v>144.99685336689748</v>
      </c>
      <c r="S7" s="78">
        <f t="shared" si="3"/>
        <v>166.64600123992534</v>
      </c>
      <c r="T7" s="78">
        <f t="shared" si="4"/>
        <v>197.93814432989686</v>
      </c>
      <c r="U7" s="78">
        <f t="shared" si="5"/>
        <v>227.89317507418394</v>
      </c>
      <c r="V7" s="78">
        <f t="shared" si="6"/>
        <v>265.89728793998836</v>
      </c>
      <c r="W7" s="78">
        <f t="shared" si="7"/>
        <v>301.8528916339134</v>
      </c>
      <c r="X7" s="78">
        <f t="shared" si="8"/>
        <v>344.1607821835959</v>
      </c>
      <c r="Y7" s="78">
        <f t="shared" si="9"/>
        <v>398.9610389610392</v>
      </c>
      <c r="Z7" s="79">
        <f t="shared" si="10"/>
        <v>456.0118753092528</v>
      </c>
      <c r="AA7" s="2"/>
      <c r="AC7" s="22"/>
      <c r="AD7" s="22"/>
      <c r="AE7" s="22"/>
      <c r="AF7" s="22"/>
      <c r="AG7" s="22"/>
      <c r="AH7" s="22"/>
      <c r="AI7" s="22"/>
      <c r="AJ7" s="22"/>
    </row>
    <row r="8" spans="14:36" ht="15">
      <c r="N8" s="6"/>
      <c r="Q8" s="84">
        <f t="shared" si="1"/>
        <v>3</v>
      </c>
      <c r="R8" s="77">
        <f t="shared" si="2"/>
        <v>472.3032069970845</v>
      </c>
      <c r="S8" s="78">
        <f t="shared" si="3"/>
        <v>536.9318181818184</v>
      </c>
      <c r="T8" s="78">
        <f t="shared" si="4"/>
        <v>627.9069767441863</v>
      </c>
      <c r="U8" s="78">
        <f t="shared" si="5"/>
        <v>712.4010554089706</v>
      </c>
      <c r="V8" s="78">
        <f t="shared" si="6"/>
        <v>816.1209068010073</v>
      </c>
      <c r="W8" s="78">
        <f t="shared" si="7"/>
        <v>910.8433734939761</v>
      </c>
      <c r="X8" s="78">
        <f t="shared" si="8"/>
        <v>1018.2857142857144</v>
      </c>
      <c r="Y8" s="78">
        <f t="shared" si="9"/>
        <v>1151.3859275053303</v>
      </c>
      <c r="Z8" s="79">
        <f t="shared" si="10"/>
        <v>1283.1683168316831</v>
      </c>
      <c r="AA8" s="2"/>
      <c r="AC8" s="22"/>
      <c r="AD8" s="22"/>
      <c r="AE8" s="22"/>
      <c r="AF8" s="22"/>
      <c r="AG8" s="22"/>
      <c r="AH8" s="22"/>
      <c r="AI8" s="22"/>
      <c r="AJ8" s="22"/>
    </row>
    <row r="9" spans="1:36" ht="15">
      <c r="A9" s="21" t="s">
        <v>34</v>
      </c>
      <c r="C9" s="24" t="s">
        <v>77</v>
      </c>
      <c r="D9" s="69">
        <f>(D5/1000)^2/I9</f>
        <v>19.26666666666667</v>
      </c>
      <c r="E9" s="2" t="s">
        <v>11</v>
      </c>
      <c r="G9" s="6"/>
      <c r="H9" s="1" t="s">
        <v>33</v>
      </c>
      <c r="I9" s="67">
        <v>1.5E-05</v>
      </c>
      <c r="J9" t="s">
        <v>63</v>
      </c>
      <c r="K9" s="8"/>
      <c r="L9" s="6"/>
      <c r="Q9" s="84">
        <f t="shared" si="1"/>
        <v>5</v>
      </c>
      <c r="R9" s="77">
        <f t="shared" si="2"/>
        <v>1187.3350923482851</v>
      </c>
      <c r="S9" s="78">
        <f t="shared" si="3"/>
        <v>1332.4873096446704</v>
      </c>
      <c r="T9" s="78">
        <f t="shared" si="4"/>
        <v>1530.6122448979593</v>
      </c>
      <c r="U9" s="78">
        <f t="shared" si="5"/>
        <v>1708.4282460136674</v>
      </c>
      <c r="V9" s="78">
        <f t="shared" si="6"/>
        <v>1918.9765458422175</v>
      </c>
      <c r="W9" s="78">
        <f t="shared" si="7"/>
        <v>2104.2084168336673</v>
      </c>
      <c r="X9" s="78">
        <f t="shared" si="8"/>
        <v>2306.616961789375</v>
      </c>
      <c r="Y9" s="78">
        <f t="shared" si="9"/>
        <v>2546.6893039049232</v>
      </c>
      <c r="Z9" s="79">
        <f t="shared" si="10"/>
        <v>2773.497688751926</v>
      </c>
      <c r="AA9" s="2"/>
      <c r="AC9" s="22"/>
      <c r="AD9" s="22"/>
      <c r="AE9" s="22"/>
      <c r="AF9" s="22"/>
      <c r="AG9" s="22"/>
      <c r="AH9" s="22"/>
      <c r="AI9" s="22"/>
      <c r="AJ9" s="22"/>
    </row>
    <row r="10" spans="3:36" ht="15">
      <c r="C10" s="1" t="s">
        <v>3</v>
      </c>
      <c r="D10" t="s">
        <v>37</v>
      </c>
      <c r="E10" s="62">
        <f aca="true" t="shared" si="11" ref="E10:M10">E33</f>
        <v>1.2</v>
      </c>
      <c r="F10" s="62">
        <f t="shared" si="11"/>
        <v>1.4</v>
      </c>
      <c r="G10" s="62">
        <f t="shared" si="11"/>
        <v>1.7</v>
      </c>
      <c r="H10" s="62">
        <f t="shared" si="11"/>
        <v>2</v>
      </c>
      <c r="I10" s="62">
        <f t="shared" si="11"/>
        <v>2.4</v>
      </c>
      <c r="J10" s="62">
        <f t="shared" si="11"/>
        <v>2.8</v>
      </c>
      <c r="K10" s="62">
        <f t="shared" si="11"/>
        <v>3.3</v>
      </c>
      <c r="L10" s="62">
        <f t="shared" si="11"/>
        <v>4</v>
      </c>
      <c r="M10" s="62">
        <f t="shared" si="11"/>
        <v>4.8</v>
      </c>
      <c r="Q10" s="84">
        <f t="shared" si="1"/>
        <v>9</v>
      </c>
      <c r="R10" s="77">
        <f t="shared" si="2"/>
        <v>3232.815964523282</v>
      </c>
      <c r="S10" s="78">
        <f t="shared" si="3"/>
        <v>3558.577405857741</v>
      </c>
      <c r="T10" s="78">
        <f t="shared" si="4"/>
        <v>3983.6065573770493</v>
      </c>
      <c r="U10" s="78">
        <f t="shared" si="5"/>
        <v>4347.048300536672</v>
      </c>
      <c r="V10" s="78">
        <f t="shared" si="6"/>
        <v>4756.933115823817</v>
      </c>
      <c r="W10" s="78">
        <f t="shared" si="7"/>
        <v>5100.449775112444</v>
      </c>
      <c r="X10" s="78">
        <f t="shared" si="8"/>
        <v>5458.815520762423</v>
      </c>
      <c r="Y10" s="78">
        <f t="shared" si="9"/>
        <v>5862.4849215922795</v>
      </c>
      <c r="Z10" s="79">
        <f t="shared" si="10"/>
        <v>6224.119530416222</v>
      </c>
      <c r="AA10" s="2"/>
      <c r="AC10" s="22"/>
      <c r="AD10" s="22"/>
      <c r="AE10" s="22"/>
      <c r="AF10" s="22"/>
      <c r="AG10" s="22"/>
      <c r="AH10" s="22"/>
      <c r="AI10" s="22"/>
      <c r="AJ10" s="22"/>
    </row>
    <row r="11" spans="3:36" ht="15">
      <c r="C11" s="1" t="s">
        <v>34</v>
      </c>
      <c r="D11" t="s">
        <v>36</v>
      </c>
      <c r="E11" s="60">
        <f aca="true" t="shared" si="12" ref="E11:M11">IF(ISNUMBER(E10),($D$5/1000)^2/(E10*$I$9),"")</f>
        <v>16.055555555555557</v>
      </c>
      <c r="F11" s="20">
        <f t="shared" si="12"/>
        <v>13.761904761904765</v>
      </c>
      <c r="G11" s="20">
        <f t="shared" si="12"/>
        <v>11.333333333333334</v>
      </c>
      <c r="H11" s="20">
        <f t="shared" si="12"/>
        <v>9.633333333333335</v>
      </c>
      <c r="I11" s="20">
        <f t="shared" si="12"/>
        <v>8.027777777777779</v>
      </c>
      <c r="J11" s="20">
        <f t="shared" si="12"/>
        <v>6.880952380952382</v>
      </c>
      <c r="K11" s="20">
        <f t="shared" si="12"/>
        <v>5.838383838383839</v>
      </c>
      <c r="L11" s="20">
        <f t="shared" si="12"/>
        <v>4.816666666666667</v>
      </c>
      <c r="M11" s="20">
        <f t="shared" si="12"/>
        <v>4.013888888888889</v>
      </c>
      <c r="Q11" s="84">
        <f t="shared" si="1"/>
        <v>16</v>
      </c>
      <c r="R11" s="77">
        <f t="shared" si="2"/>
        <v>7986.1351819757365</v>
      </c>
      <c r="S11" s="78">
        <f t="shared" si="3"/>
        <v>8601.6</v>
      </c>
      <c r="T11" s="78">
        <f t="shared" si="4"/>
        <v>9365.853658536587</v>
      </c>
      <c r="U11" s="78">
        <f t="shared" si="5"/>
        <v>9986.996098829648</v>
      </c>
      <c r="V11" s="78">
        <f t="shared" si="6"/>
        <v>10654.335260115608</v>
      </c>
      <c r="W11" s="78">
        <f t="shared" si="7"/>
        <v>11188.34547346514</v>
      </c>
      <c r="X11" s="78">
        <f t="shared" si="8"/>
        <v>11722.479185938944</v>
      </c>
      <c r="Y11" s="78">
        <f t="shared" si="9"/>
        <v>12297.838270616494</v>
      </c>
      <c r="Z11" s="79">
        <f t="shared" si="10"/>
        <v>12791.117279666898</v>
      </c>
      <c r="AA11" s="2"/>
      <c r="AC11" s="22"/>
      <c r="AD11" s="22"/>
      <c r="AE11" s="22"/>
      <c r="AF11" s="22"/>
      <c r="AG11" s="22"/>
      <c r="AH11" s="22"/>
      <c r="AI11" s="22"/>
      <c r="AJ11" s="22"/>
    </row>
    <row r="12" spans="17:36" ht="15">
      <c r="Q12" s="84">
        <f t="shared" si="1"/>
        <v>30</v>
      </c>
      <c r="R12" s="80">
        <f t="shared" si="2"/>
        <v>19541.6164053076</v>
      </c>
      <c r="S12" s="81">
        <f t="shared" si="3"/>
        <v>20565.832426550598</v>
      </c>
      <c r="T12" s="81">
        <f t="shared" si="4"/>
        <v>21774.193548387095</v>
      </c>
      <c r="U12" s="81">
        <f t="shared" si="5"/>
        <v>22708.158116063918</v>
      </c>
      <c r="V12" s="81">
        <f t="shared" si="6"/>
        <v>23666.91015339664</v>
      </c>
      <c r="W12" s="81">
        <f t="shared" si="7"/>
        <v>24402.840542285343</v>
      </c>
      <c r="X12" s="81">
        <f t="shared" si="8"/>
        <v>25112.739571589627</v>
      </c>
      <c r="Y12" s="81">
        <f t="shared" si="9"/>
        <v>25849.688846337962</v>
      </c>
      <c r="Z12" s="82">
        <f t="shared" si="10"/>
        <v>26459.779501837485</v>
      </c>
      <c r="AA12" s="2"/>
      <c r="AC12" s="22"/>
      <c r="AD12" s="22"/>
      <c r="AE12" s="22"/>
      <c r="AF12" s="22"/>
      <c r="AG12" s="22"/>
      <c r="AH12" s="22"/>
      <c r="AI12" s="22"/>
      <c r="AJ12" s="22"/>
    </row>
    <row r="13" spans="27:36" ht="15">
      <c r="AA13" s="2"/>
      <c r="AC13" s="22"/>
      <c r="AD13" s="22"/>
      <c r="AE13" s="22"/>
      <c r="AF13" s="22"/>
      <c r="AG13" s="22"/>
      <c r="AH13" s="22"/>
      <c r="AI13" s="22"/>
      <c r="AJ13" s="22"/>
    </row>
    <row r="14" spans="1:26" ht="15">
      <c r="A14" s="21" t="s">
        <v>1</v>
      </c>
      <c r="C14" s="24" t="s">
        <v>38</v>
      </c>
      <c r="D14" s="24" t="s">
        <v>5</v>
      </c>
      <c r="E14" s="70">
        <v>45</v>
      </c>
      <c r="F14" t="s">
        <v>59</v>
      </c>
      <c r="G14" s="5"/>
      <c r="M14" s="1" t="s">
        <v>61</v>
      </c>
      <c r="N14" s="73">
        <f>IF(E14&lt;0.05,"Err!",ROUND(E14,1+INT(LOG(1.69)-LOG(E14))))</f>
        <v>50</v>
      </c>
      <c r="P14" s="21" t="s">
        <v>5</v>
      </c>
      <c r="R14" s="49">
        <f aca="true" t="shared" si="13" ref="R14:R23">IF($D$24=0,IF(ISNUMBER(E$33),R3/($Q3*R$2),""),IF($D$24=2,IF(E34="#",R3/($Q3*R$2),""),IF(OR(E34="x",E34="#"),R3/($Q3*R$2),"")))</f>
      </c>
      <c r="S14" s="49">
        <f aca="true" t="shared" si="14" ref="S14:S23">IF($D$24=0,IF(ISNUMBER(F$33),S3/($Q3*S$2),""),IF($D$24=2,IF(F34="#",S3/($Q3*S$2),""),IF(OR(F34="x",F34="#"),S3/($Q3*S$2),"")))</f>
      </c>
      <c r="T14" s="49">
        <f aca="true" t="shared" si="15" ref="T14:T23">IF($D$24=0,IF(ISNUMBER(G$33),T3/($Q3*T$2),""),IF($D$24=2,IF(G34="#",T3/($Q3*T$2),""),IF(OR(G34="x",G34="#"),T3/($Q3*T$2),"")))</f>
      </c>
      <c r="U14" s="49">
        <f aca="true" t="shared" si="16" ref="U14:U23">IF($D$24=0,IF(ISNUMBER(H$33),U3/($Q3*U$2),""),IF($D$24=2,IF(H34="#",U3/($Q3*U$2),""),IF(OR(H34="x",H34="#"),U3/($Q3*U$2),"")))</f>
      </c>
      <c r="V14" s="49">
        <f aca="true" t="shared" si="17" ref="V14:V23">IF($D$24=0,IF(ISNUMBER(I$33),V3/($Q3*V$2),""),IF($D$24=2,IF(I34="#",V3/($Q3*V$2),""),IF(OR(I34="x",I34="#"),V3/($Q3*V$2),"")))</f>
      </c>
      <c r="W14" s="49">
        <f aca="true" t="shared" si="18" ref="W14:W23">IF($D$24=0,IF(ISNUMBER(J$33),W3/($Q3*W$2),""),IF($D$24=2,IF(J34="#",W3/($Q3*W$2),""),IF(OR(J34="x",J34="#"),W3/($Q3*W$2),"")))</f>
      </c>
      <c r="X14" s="49">
        <f aca="true" t="shared" si="19" ref="X14:X23">IF($D$24=0,IF(ISNUMBER(K$33),X3/($Q3*X$2),""),IF($D$24=2,IF(K34="#",X3/($Q3*X$2),""),IF(OR(K34="x",K34="#"),X3/($Q3*X$2),"")))</f>
      </c>
      <c r="Y14" s="49">
        <f aca="true" t="shared" si="20" ref="Y14:Y23">IF($D$24=0,IF(ISNUMBER(L$33),Y3/($Q3*Y$2),""),IF($D$24=2,IF(L34="#",Y3/($Q3*Y$2),""),IF(OR(L34="x",L34="#"),Y3/($Q3*Y$2),"")))</f>
      </c>
      <c r="Z14" s="49">
        <f aca="true" t="shared" si="21" ref="Z14:Z23">IF($D$24=0,IF(ISNUMBER(M$33),Z3/($Q3*Z$2),""),IF($D$24=2,IF(M34="#",Z3/($Q3*Z$2),""),IF(OR(M34="x",M34="#"),Z3/($Q3*Z$2),"")))</f>
      </c>
    </row>
    <row r="15" spans="3:26" ht="15">
      <c r="C15" s="54" t="s">
        <v>58</v>
      </c>
      <c r="D15" s="1" t="s">
        <v>57</v>
      </c>
      <c r="E15" s="71">
        <v>35</v>
      </c>
      <c r="F15" t="s">
        <v>74</v>
      </c>
      <c r="G15" s="5"/>
      <c r="N15" s="73">
        <f>IF(E15&lt;0.05,0,ROUND(E15,1+INT(LOG(1.69)-LOG(E15))))</f>
        <v>40</v>
      </c>
      <c r="P15" s="1" t="s">
        <v>2</v>
      </c>
      <c r="Q15" s="2"/>
      <c r="R15" s="49">
        <f t="shared" si="13"/>
      </c>
      <c r="S15" s="49">
        <f t="shared" si="14"/>
      </c>
      <c r="T15" s="49">
        <f t="shared" si="15"/>
      </c>
      <c r="U15" s="49">
        <f t="shared" si="16"/>
      </c>
      <c r="V15" s="49">
        <f t="shared" si="17"/>
      </c>
      <c r="W15" s="49">
        <f t="shared" si="18"/>
      </c>
      <c r="X15" s="49">
        <f t="shared" si="19"/>
      </c>
      <c r="Y15" s="49">
        <f t="shared" si="20"/>
      </c>
      <c r="Z15" s="49">
        <f t="shared" si="21"/>
      </c>
    </row>
    <row r="16" spans="3:26" ht="15">
      <c r="C16" s="47"/>
      <c r="D16" s="1"/>
      <c r="E16" s="48"/>
      <c r="P16" s="1" t="s">
        <v>50</v>
      </c>
      <c r="Q16" s="2"/>
      <c r="R16" s="49">
        <f t="shared" si="13"/>
        <v>25.16778523489934</v>
      </c>
      <c r="S16" s="49">
        <f t="shared" si="14"/>
        <v>25.041736227045057</v>
      </c>
      <c r="T16" s="49">
        <f t="shared" si="15"/>
        <v>24.85501242750618</v>
      </c>
      <c r="U16" s="49">
        <f t="shared" si="16"/>
        <v>24.671052631578927</v>
      </c>
      <c r="V16" s="49">
        <f t="shared" si="17"/>
        <v>24.42996742671011</v>
      </c>
      <c r="W16" s="49">
        <f t="shared" si="18"/>
        <v>24.19354838709678</v>
      </c>
      <c r="X16" s="49">
        <f t="shared" si="19"/>
      </c>
      <c r="Y16" s="49">
        <f t="shared" si="20"/>
      </c>
      <c r="Z16" s="49">
        <f t="shared" si="21"/>
      </c>
    </row>
    <row r="17" spans="3:26" ht="15">
      <c r="C17" s="24" t="s">
        <v>31</v>
      </c>
      <c r="D17" s="10"/>
      <c r="E17" s="72">
        <f>SQRT(SUM(R59:Z68)/COUNT(R59:Z68))</f>
        <v>0.09619534732801434</v>
      </c>
      <c r="F17" t="str">
        <f>CONCATENATE("for use case = ",$D$24)</f>
        <v>for use case = 1</v>
      </c>
      <c r="P17" s="1" t="s">
        <v>55</v>
      </c>
      <c r="Q17" s="2"/>
      <c r="R17" s="49">
        <f t="shared" si="13"/>
        <v>44.23328964613362</v>
      </c>
      <c r="S17" s="49">
        <f t="shared" si="14"/>
        <v>43.84540435206235</v>
      </c>
      <c r="T17" s="49">
        <f t="shared" si="15"/>
        <v>43.27616605225199</v>
      </c>
      <c r="U17" s="49">
        <f t="shared" si="16"/>
        <v>42.72151898734175</v>
      </c>
      <c r="V17" s="49">
        <f t="shared" si="17"/>
        <v>42.00373366521471</v>
      </c>
      <c r="W17" s="49">
        <f t="shared" si="18"/>
        <v>41.30966952264385</v>
      </c>
      <c r="X17" s="49">
        <f t="shared" si="19"/>
      </c>
      <c r="Y17" s="49">
        <f t="shared" si="20"/>
      </c>
      <c r="Z17" s="49">
        <f t="shared" si="21"/>
      </c>
    </row>
    <row r="18" spans="3:36" ht="15">
      <c r="C18" s="24" t="s">
        <v>28</v>
      </c>
      <c r="D18" s="10"/>
      <c r="E18" s="72">
        <f>SQRT(MAX(R59:Z68))</f>
        <v>0.23086666666666666</v>
      </c>
      <c r="F18" t="str">
        <f>CONCATENATE("for use case = ",$D$24)</f>
        <v>for use case = 1</v>
      </c>
      <c r="N18" s="7"/>
      <c r="Q18" s="2"/>
      <c r="R18" s="49">
        <f t="shared" si="13"/>
        <v>75.51919446192578</v>
      </c>
      <c r="S18" s="49">
        <f t="shared" si="14"/>
        <v>74.39553626782381</v>
      </c>
      <c r="T18" s="49">
        <f t="shared" si="15"/>
        <v>72.77137659187385</v>
      </c>
      <c r="U18" s="49">
        <f t="shared" si="16"/>
        <v>71.21661721068247</v>
      </c>
      <c r="V18" s="49">
        <f t="shared" si="17"/>
        <v>69.24408540103863</v>
      </c>
      <c r="W18" s="49">
        <f t="shared" si="18"/>
        <v>67.37787759685567</v>
      </c>
      <c r="X18" s="49">
        <f t="shared" si="19"/>
      </c>
      <c r="Y18" s="49">
        <f t="shared" si="20"/>
      </c>
      <c r="Z18" s="49">
        <f t="shared" si="21"/>
      </c>
      <c r="AC18" s="22"/>
      <c r="AD18" s="22"/>
      <c r="AE18" s="22"/>
      <c r="AF18" s="22"/>
      <c r="AG18" s="22"/>
      <c r="AH18" s="22"/>
      <c r="AI18" s="22"/>
      <c r="AJ18" s="22"/>
    </row>
    <row r="19" spans="17:36" ht="15">
      <c r="Q19" s="2"/>
      <c r="R19" s="49">
        <f t="shared" si="13"/>
        <v>131.19533527696794</v>
      </c>
      <c r="S19" s="49">
        <f t="shared" si="14"/>
        <v>127.84090909090915</v>
      </c>
      <c r="T19" s="49">
        <f t="shared" si="15"/>
        <v>123.11901504787967</v>
      </c>
      <c r="U19" s="49">
        <f t="shared" si="16"/>
        <v>118.73350923482843</v>
      </c>
      <c r="V19" s="49">
        <f t="shared" si="17"/>
        <v>113.35012594458436</v>
      </c>
      <c r="W19" s="49">
        <f t="shared" si="18"/>
        <v>108.43373493975908</v>
      </c>
      <c r="X19" s="49">
        <f t="shared" si="19"/>
      </c>
      <c r="Y19" s="49">
        <f t="shared" si="20"/>
      </c>
      <c r="Z19" s="49">
        <f t="shared" si="21"/>
      </c>
      <c r="AC19" s="11"/>
      <c r="AD19" s="11"/>
      <c r="AE19" s="11"/>
      <c r="AF19" s="11"/>
      <c r="AG19" s="11"/>
      <c r="AH19" s="11"/>
      <c r="AI19" s="11"/>
      <c r="AJ19" s="11"/>
    </row>
    <row r="20" spans="3:36" ht="15">
      <c r="C20" s="1" t="s">
        <v>20</v>
      </c>
      <c r="E20" s="86">
        <f>AVERAGE(R48:Z57)</f>
        <v>0.002263688715164052</v>
      </c>
      <c r="G20" s="1" t="s">
        <v>52</v>
      </c>
      <c r="H20" s="65">
        <v>0.1</v>
      </c>
      <c r="I20" s="110" t="str">
        <f>IF(E20&lt;-H20,"Generally under-estimating",IF(E20&gt;H20,"Generally over-estimating","Generally balanced"))</f>
        <v>Generally balanced</v>
      </c>
      <c r="J20" s="110"/>
      <c r="K20" s="110"/>
      <c r="L20" t="s">
        <v>21</v>
      </c>
      <c r="Q20" s="2"/>
      <c r="R20" s="49">
        <f t="shared" si="13"/>
        <v>197.8891820580475</v>
      </c>
      <c r="S20" s="49">
        <f t="shared" si="14"/>
        <v>190.35532994923864</v>
      </c>
      <c r="T20" s="49">
        <f t="shared" si="15"/>
        <v>180.07202881152463</v>
      </c>
      <c r="U20" s="49">
        <f t="shared" si="16"/>
        <v>170.84282460136674</v>
      </c>
      <c r="V20" s="49">
        <f t="shared" si="17"/>
        <v>159.91471215351814</v>
      </c>
      <c r="W20" s="49">
        <f t="shared" si="18"/>
        <v>150.3006012024048</v>
      </c>
      <c r="X20" s="49">
        <f t="shared" si="19"/>
      </c>
      <c r="Y20" s="49">
        <f t="shared" si="20"/>
      </c>
      <c r="Z20" s="49">
        <f t="shared" si="21"/>
      </c>
      <c r="AC20" s="11"/>
      <c r="AD20" s="11"/>
      <c r="AE20" s="11"/>
      <c r="AF20" s="11"/>
      <c r="AG20" s="11"/>
      <c r="AH20" s="11"/>
      <c r="AI20" s="11"/>
      <c r="AJ20" s="11"/>
    </row>
    <row r="21" spans="17:36" ht="15">
      <c r="Q21" s="2"/>
      <c r="R21" s="49">
        <f t="shared" si="13"/>
      </c>
      <c r="S21" s="49">
        <f t="shared" si="14"/>
      </c>
      <c r="T21" s="49">
        <f t="shared" si="15"/>
      </c>
      <c r="U21" s="49">
        <f t="shared" si="16"/>
      </c>
      <c r="V21" s="49">
        <f t="shared" si="17"/>
      </c>
      <c r="W21" s="49">
        <f t="shared" si="18"/>
      </c>
      <c r="X21" s="49">
        <f t="shared" si="19"/>
      </c>
      <c r="Y21" s="49">
        <f t="shared" si="20"/>
      </c>
      <c r="Z21" s="49">
        <f t="shared" si="21"/>
      </c>
      <c r="AC21" s="11"/>
      <c r="AD21" s="11"/>
      <c r="AE21" s="11"/>
      <c r="AF21" s="11"/>
      <c r="AG21" s="11"/>
      <c r="AH21" s="11"/>
      <c r="AI21" s="11"/>
      <c r="AJ21" s="11"/>
    </row>
    <row r="22" spans="17:36" ht="15">
      <c r="Q22" s="2"/>
      <c r="R22" s="49">
        <f t="shared" si="13"/>
      </c>
      <c r="S22" s="49">
        <f t="shared" si="14"/>
      </c>
      <c r="T22" s="49">
        <f t="shared" si="15"/>
      </c>
      <c r="U22" s="49">
        <f t="shared" si="16"/>
      </c>
      <c r="V22" s="49">
        <f t="shared" si="17"/>
      </c>
      <c r="W22" s="49">
        <f t="shared" si="18"/>
      </c>
      <c r="X22" s="49">
        <f t="shared" si="19"/>
      </c>
      <c r="Y22" s="49">
        <f t="shared" si="20"/>
      </c>
      <c r="Z22" s="49">
        <f t="shared" si="21"/>
      </c>
      <c r="AC22" s="11"/>
      <c r="AD22" s="11"/>
      <c r="AE22" s="11"/>
      <c r="AF22" s="11"/>
      <c r="AG22" s="11"/>
      <c r="AH22" s="11"/>
      <c r="AI22" s="11"/>
      <c r="AJ22" s="11"/>
    </row>
    <row r="23" spans="1:26" ht="15">
      <c r="A23" s="21" t="s">
        <v>26</v>
      </c>
      <c r="E23" t="s">
        <v>78</v>
      </c>
      <c r="Q23" s="2"/>
      <c r="R23" s="49">
        <f t="shared" si="13"/>
      </c>
      <c r="S23" s="49">
        <f t="shared" si="14"/>
      </c>
      <c r="T23" s="49">
        <f t="shared" si="15"/>
      </c>
      <c r="U23" s="49">
        <f t="shared" si="16"/>
      </c>
      <c r="V23" s="49">
        <f t="shared" si="17"/>
      </c>
      <c r="W23" s="49">
        <f t="shared" si="18"/>
      </c>
      <c r="X23" s="49">
        <f t="shared" si="19"/>
      </c>
      <c r="Y23" s="49">
        <f t="shared" si="20"/>
      </c>
      <c r="Z23" s="49">
        <f t="shared" si="21"/>
      </c>
    </row>
    <row r="24" spans="3:36" ht="15">
      <c r="C24" s="1" t="s">
        <v>19</v>
      </c>
      <c r="D24" s="87">
        <v>1</v>
      </c>
      <c r="E24" t="s">
        <v>79</v>
      </c>
      <c r="AC24" s="23"/>
      <c r="AD24" s="23"/>
      <c r="AE24" s="23"/>
      <c r="AF24" s="23"/>
      <c r="AG24" s="23"/>
      <c r="AH24" s="23"/>
      <c r="AI24" s="23"/>
      <c r="AJ24" s="23"/>
    </row>
    <row r="25" spans="5:36" ht="15">
      <c r="E25" t="s">
        <v>16</v>
      </c>
      <c r="P25" s="21" t="s">
        <v>27</v>
      </c>
      <c r="R25" s="49">
        <f aca="true" t="shared" si="22" ref="R25:Z25">IF(ISNUMBER(R14),$E$14+$E$15*($Q3-1),"")</f>
      </c>
      <c r="S25" s="49">
        <f t="shared" si="22"/>
      </c>
      <c r="T25" s="49">
        <f t="shared" si="22"/>
      </c>
      <c r="U25" s="49">
        <f t="shared" si="22"/>
      </c>
      <c r="V25" s="49">
        <f t="shared" si="22"/>
      </c>
      <c r="W25" s="49">
        <f t="shared" si="22"/>
      </c>
      <c r="X25" s="49">
        <f t="shared" si="22"/>
      </c>
      <c r="Y25" s="49">
        <f t="shared" si="22"/>
      </c>
      <c r="Z25" s="49">
        <f t="shared" si="22"/>
      </c>
      <c r="AC25" s="23"/>
      <c r="AD25" s="23"/>
      <c r="AE25" s="23"/>
      <c r="AF25" s="23"/>
      <c r="AG25" s="23"/>
      <c r="AH25" s="23"/>
      <c r="AI25" s="23"/>
      <c r="AJ25" s="23"/>
    </row>
    <row r="26" spans="5:36" ht="15">
      <c r="E26" t="s">
        <v>80</v>
      </c>
      <c r="P26" s="1" t="s">
        <v>56</v>
      </c>
      <c r="Q26" s="2"/>
      <c r="R26" s="49">
        <f aca="true" t="shared" si="23" ref="R26:Z26">IF(ISNUMBER(R15),$E$14+$E$15*($Q4-1),"")</f>
      </c>
      <c r="S26" s="49">
        <f t="shared" si="23"/>
      </c>
      <c r="T26" s="49">
        <f t="shared" si="23"/>
      </c>
      <c r="U26" s="49">
        <f t="shared" si="23"/>
      </c>
      <c r="V26" s="49">
        <f t="shared" si="23"/>
      </c>
      <c r="W26" s="49">
        <f t="shared" si="23"/>
      </c>
      <c r="X26" s="49">
        <f t="shared" si="23"/>
      </c>
      <c r="Y26" s="49">
        <f t="shared" si="23"/>
      </c>
      <c r="Z26" s="49">
        <f t="shared" si="23"/>
      </c>
      <c r="AA26" s="2"/>
      <c r="AC26" s="23"/>
      <c r="AD26" s="23"/>
      <c r="AE26" s="23"/>
      <c r="AF26" s="23"/>
      <c r="AG26" s="23"/>
      <c r="AH26" s="23"/>
      <c r="AI26" s="23"/>
      <c r="AJ26" s="23"/>
    </row>
    <row r="27" spans="5:36" ht="15">
      <c r="E27" t="s">
        <v>8</v>
      </c>
      <c r="P27" s="1" t="s">
        <v>71</v>
      </c>
      <c r="R27" s="49">
        <f aca="true" t="shared" si="24" ref="R27:Z27">IF(ISNUMBER(R16),$E$14+$E$15*($Q5-1),"")</f>
        <v>27.5</v>
      </c>
      <c r="S27" s="49">
        <f t="shared" si="24"/>
        <v>27.5</v>
      </c>
      <c r="T27" s="49">
        <f t="shared" si="24"/>
        <v>27.5</v>
      </c>
      <c r="U27" s="49">
        <f t="shared" si="24"/>
        <v>27.5</v>
      </c>
      <c r="V27" s="49">
        <f t="shared" si="24"/>
        <v>27.5</v>
      </c>
      <c r="W27" s="49">
        <f t="shared" si="24"/>
        <v>27.5</v>
      </c>
      <c r="X27" s="49">
        <f t="shared" si="24"/>
      </c>
      <c r="Y27" s="49">
        <f t="shared" si="24"/>
      </c>
      <c r="Z27" s="49">
        <f t="shared" si="24"/>
      </c>
      <c r="AC27" s="23"/>
      <c r="AD27" s="23"/>
      <c r="AE27" s="23"/>
      <c r="AF27" s="23"/>
      <c r="AG27" s="23"/>
      <c r="AH27" s="23"/>
      <c r="AI27" s="23"/>
      <c r="AJ27" s="23"/>
    </row>
    <row r="28" spans="16:27" ht="15">
      <c r="P28" s="1" t="s">
        <v>70</v>
      </c>
      <c r="R28" s="49">
        <f aca="true" t="shared" si="25" ref="R28:Z28">IF(ISNUMBER(R17),$E$14+$E$15*($Q6-1),"")</f>
        <v>41.5</v>
      </c>
      <c r="S28" s="49">
        <f t="shared" si="25"/>
        <v>41.5</v>
      </c>
      <c r="T28" s="49">
        <f t="shared" si="25"/>
        <v>41.5</v>
      </c>
      <c r="U28" s="49">
        <f t="shared" si="25"/>
        <v>41.5</v>
      </c>
      <c r="V28" s="49">
        <f t="shared" si="25"/>
        <v>41.5</v>
      </c>
      <c r="W28" s="49">
        <f t="shared" si="25"/>
        <v>41.5</v>
      </c>
      <c r="X28" s="49">
        <f t="shared" si="25"/>
      </c>
      <c r="Y28" s="49">
        <f t="shared" si="25"/>
      </c>
      <c r="Z28" s="49">
        <f t="shared" si="25"/>
      </c>
      <c r="AA28" s="2"/>
    </row>
    <row r="29" spans="5:27" ht="15">
      <c r="E29" s="109" t="s">
        <v>35</v>
      </c>
      <c r="F29" s="109"/>
      <c r="G29" s="109"/>
      <c r="H29" s="109"/>
      <c r="I29" s="109"/>
      <c r="J29" s="109"/>
      <c r="K29" s="109"/>
      <c r="L29" s="109"/>
      <c r="M29" s="109"/>
      <c r="P29" s="1" t="s">
        <v>55</v>
      </c>
      <c r="R29" s="49">
        <f aca="true" t="shared" si="26" ref="R29:Z29">IF(ISNUMBER(R18),$E$14+$E$15*($Q7-1),"")</f>
        <v>66</v>
      </c>
      <c r="S29" s="49">
        <f t="shared" si="26"/>
        <v>66</v>
      </c>
      <c r="T29" s="49">
        <f t="shared" si="26"/>
        <v>66</v>
      </c>
      <c r="U29" s="49">
        <f t="shared" si="26"/>
        <v>66</v>
      </c>
      <c r="V29" s="49">
        <f t="shared" si="26"/>
        <v>66</v>
      </c>
      <c r="W29" s="49">
        <f t="shared" si="26"/>
        <v>66</v>
      </c>
      <c r="X29" s="49">
        <f t="shared" si="26"/>
      </c>
      <c r="Y29" s="49">
        <f t="shared" si="26"/>
      </c>
      <c r="Z29" s="49">
        <f t="shared" si="26"/>
      </c>
      <c r="AA29" s="12"/>
    </row>
    <row r="30" spans="5:27" ht="15">
      <c r="E30" s="15" t="s">
        <v>81</v>
      </c>
      <c r="F30" s="15"/>
      <c r="G30" s="15"/>
      <c r="H30" s="15"/>
      <c r="I30" s="15"/>
      <c r="J30" s="15" t="s">
        <v>54</v>
      </c>
      <c r="K30" s="15"/>
      <c r="L30" s="15"/>
      <c r="M30" s="15"/>
      <c r="R30" s="49">
        <f aca="true" t="shared" si="27" ref="R30:Z30">IF(ISNUMBER(R19),$E$14+$E$15*($Q8-1),"")</f>
        <v>115</v>
      </c>
      <c r="S30" s="49">
        <f t="shared" si="27"/>
        <v>115</v>
      </c>
      <c r="T30" s="49">
        <f t="shared" si="27"/>
        <v>115</v>
      </c>
      <c r="U30" s="49">
        <f t="shared" si="27"/>
        <v>115</v>
      </c>
      <c r="V30" s="49">
        <f t="shared" si="27"/>
        <v>115</v>
      </c>
      <c r="W30" s="49">
        <f t="shared" si="27"/>
        <v>115</v>
      </c>
      <c r="X30" s="49">
        <f t="shared" si="27"/>
      </c>
      <c r="Y30" s="49">
        <f t="shared" si="27"/>
      </c>
      <c r="Z30" s="49">
        <f t="shared" si="27"/>
      </c>
      <c r="AA30" s="13"/>
    </row>
    <row r="31" spans="2:27" ht="15">
      <c r="B31" s="9"/>
      <c r="E31" s="15"/>
      <c r="F31" s="15"/>
      <c r="G31" s="57" t="str">
        <f>CONCATENATE("max aperture of f/",I5," with f =")</f>
        <v>max aperture of f/1.2 with f =</v>
      </c>
      <c r="H31" s="58">
        <f>F62</f>
        <v>1.4</v>
      </c>
      <c r="I31" s="15"/>
      <c r="J31" s="57" t="s">
        <v>48</v>
      </c>
      <c r="K31" s="59">
        <v>2</v>
      </c>
      <c r="L31" s="15" t="s">
        <v>41</v>
      </c>
      <c r="M31" s="15"/>
      <c r="R31" s="49">
        <f aca="true" t="shared" si="28" ref="R31:Z31">IF(ISNUMBER(R20),$E$14+$E$15*($Q9-1),"")</f>
        <v>185</v>
      </c>
      <c r="S31" s="49">
        <f t="shared" si="28"/>
        <v>185</v>
      </c>
      <c r="T31" s="49">
        <f t="shared" si="28"/>
        <v>185</v>
      </c>
      <c r="U31" s="49">
        <f t="shared" si="28"/>
        <v>185</v>
      </c>
      <c r="V31" s="49">
        <f t="shared" si="28"/>
        <v>185</v>
      </c>
      <c r="W31" s="49">
        <f t="shared" si="28"/>
        <v>185</v>
      </c>
      <c r="X31" s="49">
        <f t="shared" si="28"/>
      </c>
      <c r="Y31" s="49">
        <f t="shared" si="28"/>
      </c>
      <c r="Z31" s="49">
        <f t="shared" si="28"/>
      </c>
      <c r="AA31" s="14"/>
    </row>
    <row r="32" spans="2:27" ht="15">
      <c r="B32" t="s">
        <v>64</v>
      </c>
      <c r="E32" s="56"/>
      <c r="F32" s="55"/>
      <c r="G32" s="55"/>
      <c r="H32" s="55"/>
      <c r="I32" s="55"/>
      <c r="J32" s="55"/>
      <c r="K32" s="55"/>
      <c r="L32" s="55"/>
      <c r="M32" s="55"/>
      <c r="R32" s="49">
        <f aca="true" t="shared" si="29" ref="R32:Z32">IF(ISNUMBER(R21),$E$14+$E$15*($Q10-1),"")</f>
      </c>
      <c r="S32" s="49">
        <f t="shared" si="29"/>
      </c>
      <c r="T32" s="49">
        <f t="shared" si="29"/>
      </c>
      <c r="U32" s="49">
        <f t="shared" si="29"/>
      </c>
      <c r="V32" s="49">
        <f t="shared" si="29"/>
      </c>
      <c r="W32" s="49">
        <f t="shared" si="29"/>
      </c>
      <c r="X32" s="49">
        <f t="shared" si="29"/>
      </c>
      <c r="Y32" s="49">
        <f t="shared" si="29"/>
      </c>
      <c r="Z32" s="49">
        <f t="shared" si="29"/>
      </c>
      <c r="AA32" s="12"/>
    </row>
    <row r="33" spans="5:27" ht="15">
      <c r="E33" s="88">
        <f>E64</f>
        <v>1.2</v>
      </c>
      <c r="F33" s="88">
        <f aca="true" t="shared" si="30" ref="F33:M33">IF(F64&gt;E64,F64,"")</f>
        <v>1.4</v>
      </c>
      <c r="G33" s="88">
        <f t="shared" si="30"/>
        <v>1.7</v>
      </c>
      <c r="H33" s="88">
        <f t="shared" si="30"/>
        <v>2</v>
      </c>
      <c r="I33" s="88">
        <f t="shared" si="30"/>
        <v>2.4</v>
      </c>
      <c r="J33" s="88">
        <f t="shared" si="30"/>
        <v>2.8</v>
      </c>
      <c r="K33" s="88">
        <f t="shared" si="30"/>
        <v>3.3</v>
      </c>
      <c r="L33" s="88">
        <f t="shared" si="30"/>
        <v>4</v>
      </c>
      <c r="M33" s="88">
        <f t="shared" si="30"/>
        <v>4.8</v>
      </c>
      <c r="R33" s="49">
        <f aca="true" t="shared" si="31" ref="R33:Z33">IF(ISNUMBER(R22),$E$14+$E$15*($Q11-1),"")</f>
      </c>
      <c r="S33" s="49">
        <f t="shared" si="31"/>
      </c>
      <c r="T33" s="49">
        <f t="shared" si="31"/>
      </c>
      <c r="U33" s="49">
        <f t="shared" si="31"/>
      </c>
      <c r="V33" s="49">
        <f t="shared" si="31"/>
      </c>
      <c r="W33" s="49">
        <f t="shared" si="31"/>
      </c>
      <c r="X33" s="49">
        <f t="shared" si="31"/>
      </c>
      <c r="Y33" s="49">
        <f t="shared" si="31"/>
      </c>
      <c r="Z33" s="49">
        <f t="shared" si="31"/>
      </c>
      <c r="AA33" s="14"/>
    </row>
    <row r="34" spans="2:27" ht="15">
      <c r="B34" s="108" t="s">
        <v>43</v>
      </c>
      <c r="C34" s="16" t="s">
        <v>45</v>
      </c>
      <c r="D34" s="63">
        <f>I6</f>
        <v>0.2</v>
      </c>
      <c r="E34" s="25"/>
      <c r="F34" s="26"/>
      <c r="G34" s="26"/>
      <c r="H34" s="26"/>
      <c r="I34" s="26"/>
      <c r="J34" s="26"/>
      <c r="K34" s="26"/>
      <c r="L34" s="26"/>
      <c r="M34" s="27"/>
      <c r="Q34" s="2"/>
      <c r="R34" s="49">
        <f aca="true" t="shared" si="32" ref="R34:Z34">IF(ISNUMBER(R23),$E$14+$E$15*($Q12-1),"")</f>
      </c>
      <c r="S34" s="49">
        <f t="shared" si="32"/>
      </c>
      <c r="T34" s="49">
        <f t="shared" si="32"/>
      </c>
      <c r="U34" s="49">
        <f t="shared" si="32"/>
      </c>
      <c r="V34" s="49">
        <f t="shared" si="32"/>
      </c>
      <c r="W34" s="49">
        <f t="shared" si="32"/>
      </c>
      <c r="X34" s="49">
        <f t="shared" si="32"/>
      </c>
      <c r="Y34" s="49">
        <f t="shared" si="32"/>
      </c>
      <c r="Z34" s="49">
        <f t="shared" si="32"/>
      </c>
      <c r="AA34" s="2"/>
    </row>
    <row r="35" spans="2:27" ht="15">
      <c r="B35" s="108"/>
      <c r="C35" s="16" t="s">
        <v>42</v>
      </c>
      <c r="D35" s="63">
        <f>C39</f>
        <v>0.25</v>
      </c>
      <c r="E35" s="28"/>
      <c r="F35" s="29"/>
      <c r="G35" s="29"/>
      <c r="H35" s="29"/>
      <c r="I35" s="29"/>
      <c r="J35" s="29"/>
      <c r="K35" s="29"/>
      <c r="L35" s="29"/>
      <c r="M35" s="30"/>
      <c r="AA35" s="2"/>
    </row>
    <row r="36" spans="2:26" ht="15">
      <c r="B36" s="108"/>
      <c r="C36" s="16" t="s">
        <v>46</v>
      </c>
      <c r="D36" s="63">
        <f aca="true" t="shared" si="33" ref="D36:D43">ROUND(D35*$M$71,1+INT(LOG(1.69)-LOG(D35*$M$71)))</f>
        <v>0.5</v>
      </c>
      <c r="E36" s="28" t="s">
        <v>18</v>
      </c>
      <c r="F36" s="29" t="s">
        <v>18</v>
      </c>
      <c r="G36" s="29" t="s">
        <v>18</v>
      </c>
      <c r="H36" s="29" t="s">
        <v>18</v>
      </c>
      <c r="I36" s="29" t="s">
        <v>17</v>
      </c>
      <c r="J36" s="29" t="s">
        <v>17</v>
      </c>
      <c r="K36" s="29"/>
      <c r="L36" s="29"/>
      <c r="M36" s="30"/>
      <c r="R36" s="83">
        <f aca="true" t="shared" si="34" ref="R36:Z36">E33</f>
        <v>1.2</v>
      </c>
      <c r="S36" s="83">
        <f t="shared" si="34"/>
        <v>1.4</v>
      </c>
      <c r="T36" s="83">
        <f t="shared" si="34"/>
        <v>1.7</v>
      </c>
      <c r="U36" s="83">
        <f t="shared" si="34"/>
        <v>2</v>
      </c>
      <c r="V36" s="83">
        <f t="shared" si="34"/>
        <v>2.4</v>
      </c>
      <c r="W36" s="83">
        <f t="shared" si="34"/>
        <v>2.8</v>
      </c>
      <c r="X36" s="83">
        <f t="shared" si="34"/>
        <v>3.3</v>
      </c>
      <c r="Y36" s="83">
        <f t="shared" si="34"/>
        <v>4</v>
      </c>
      <c r="Z36" s="83">
        <f t="shared" si="34"/>
        <v>4.8</v>
      </c>
    </row>
    <row r="37" spans="2:28" ht="15">
      <c r="B37" s="108"/>
      <c r="C37" s="16" t="s">
        <v>47</v>
      </c>
      <c r="D37" s="63">
        <f t="shared" si="33"/>
        <v>0.9</v>
      </c>
      <c r="E37" s="28" t="s">
        <v>18</v>
      </c>
      <c r="F37" s="29" t="s">
        <v>18</v>
      </c>
      <c r="G37" s="29" t="s">
        <v>18</v>
      </c>
      <c r="H37" s="29" t="s">
        <v>18</v>
      </c>
      <c r="I37" s="29" t="s">
        <v>17</v>
      </c>
      <c r="J37" s="29" t="s">
        <v>17</v>
      </c>
      <c r="K37" s="29"/>
      <c r="L37" s="29"/>
      <c r="M37" s="30"/>
      <c r="P37" s="21" t="s">
        <v>29</v>
      </c>
      <c r="Q37" s="84">
        <f aca="true" t="shared" si="35" ref="Q37:Q46">D34</f>
        <v>0.2</v>
      </c>
      <c r="R37" s="74">
        <f aca="true" t="shared" si="36" ref="R37:Z37">IF(ISNUMBER(R25),R25*$Q3*R$2,"")</f>
      </c>
      <c r="S37" s="75">
        <f t="shared" si="36"/>
      </c>
      <c r="T37" s="75">
        <f t="shared" si="36"/>
      </c>
      <c r="U37" s="75">
        <f t="shared" si="36"/>
      </c>
      <c r="V37" s="75">
        <f t="shared" si="36"/>
      </c>
      <c r="W37" s="75">
        <f t="shared" si="36"/>
      </c>
      <c r="X37" s="75">
        <f t="shared" si="36"/>
      </c>
      <c r="Y37" s="75">
        <f t="shared" si="36"/>
      </c>
      <c r="Z37" s="76">
        <f t="shared" si="36"/>
      </c>
      <c r="AA37" s="2"/>
      <c r="AB37" s="17"/>
    </row>
    <row r="38" spans="2:26" ht="15">
      <c r="B38" s="108"/>
      <c r="C38" s="16" t="str">
        <f>CONCATENATE(I6,"m with sd =")</f>
        <v>0.2m with sd =</v>
      </c>
      <c r="D38" s="63">
        <f t="shared" si="33"/>
        <v>1.6</v>
      </c>
      <c r="E38" s="28" t="s">
        <v>18</v>
      </c>
      <c r="F38" s="29" t="s">
        <v>18</v>
      </c>
      <c r="G38" s="29" t="s">
        <v>18</v>
      </c>
      <c r="H38" s="29" t="s">
        <v>18</v>
      </c>
      <c r="I38" s="29" t="s">
        <v>17</v>
      </c>
      <c r="J38" s="29" t="s">
        <v>17</v>
      </c>
      <c r="K38" s="29"/>
      <c r="L38" s="29"/>
      <c r="M38" s="30"/>
      <c r="P38" s="1" t="s">
        <v>51</v>
      </c>
      <c r="Q38" s="84">
        <f t="shared" si="35"/>
        <v>0.25</v>
      </c>
      <c r="R38" s="77">
        <f aca="true" t="shared" si="37" ref="R38:Z38">IF(ISNUMBER(R26),R26*$Q4*R$2,"")</f>
      </c>
      <c r="S38" s="78">
        <f t="shared" si="37"/>
      </c>
      <c r="T38" s="78">
        <f t="shared" si="37"/>
      </c>
      <c r="U38" s="78">
        <f t="shared" si="37"/>
      </c>
      <c r="V38" s="78">
        <f t="shared" si="37"/>
      </c>
      <c r="W38" s="78">
        <f t="shared" si="37"/>
      </c>
      <c r="X38" s="78">
        <f t="shared" si="37"/>
      </c>
      <c r="Y38" s="78">
        <f t="shared" si="37"/>
      </c>
      <c r="Z38" s="79">
        <f t="shared" si="37"/>
      </c>
    </row>
    <row r="39" spans="2:27" ht="15">
      <c r="B39" s="108"/>
      <c r="C39" s="85">
        <f>VLOOKUP(D34,K74:L84,2)</f>
        <v>0.25</v>
      </c>
      <c r="D39" s="63">
        <f t="shared" si="33"/>
        <v>3</v>
      </c>
      <c r="E39" s="28" t="s">
        <v>17</v>
      </c>
      <c r="F39" s="29" t="s">
        <v>17</v>
      </c>
      <c r="G39" s="29" t="s">
        <v>17</v>
      </c>
      <c r="H39" s="29" t="s">
        <v>17</v>
      </c>
      <c r="I39" s="29" t="s">
        <v>17</v>
      </c>
      <c r="J39" s="29" t="s">
        <v>17</v>
      </c>
      <c r="K39" s="29"/>
      <c r="L39" s="29"/>
      <c r="M39" s="30"/>
      <c r="P39" s="1" t="s">
        <v>13</v>
      </c>
      <c r="Q39" s="84">
        <f t="shared" si="35"/>
        <v>0.5</v>
      </c>
      <c r="R39" s="77">
        <f aca="true" t="shared" si="38" ref="R39:Z39">IF(ISNUMBER(R27),R27*$Q5*R$2,"")</f>
        <v>16.5</v>
      </c>
      <c r="S39" s="78">
        <f t="shared" si="38"/>
        <v>19.25</v>
      </c>
      <c r="T39" s="78">
        <f t="shared" si="38"/>
        <v>23.375</v>
      </c>
      <c r="U39" s="78">
        <f t="shared" si="38"/>
        <v>27.5</v>
      </c>
      <c r="V39" s="78">
        <f t="shared" si="38"/>
        <v>33</v>
      </c>
      <c r="W39" s="78">
        <f t="shared" si="38"/>
        <v>38.5</v>
      </c>
      <c r="X39" s="78">
        <f t="shared" si="38"/>
      </c>
      <c r="Y39" s="78">
        <f t="shared" si="38"/>
      </c>
      <c r="Z39" s="79">
        <f t="shared" si="38"/>
      </c>
      <c r="AA39" s="2"/>
    </row>
    <row r="40" spans="2:27" ht="15">
      <c r="B40" s="108"/>
      <c r="C40" s="16" t="s">
        <v>62</v>
      </c>
      <c r="D40" s="63">
        <f t="shared" si="33"/>
        <v>5</v>
      </c>
      <c r="E40" s="28" t="s">
        <v>17</v>
      </c>
      <c r="F40" s="29" t="s">
        <v>17</v>
      </c>
      <c r="G40" s="29" t="s">
        <v>17</v>
      </c>
      <c r="H40" s="29" t="s">
        <v>17</v>
      </c>
      <c r="I40" s="29" t="s">
        <v>17</v>
      </c>
      <c r="J40" s="29" t="s">
        <v>17</v>
      </c>
      <c r="K40" s="29"/>
      <c r="L40" s="29"/>
      <c r="M40" s="30"/>
      <c r="Q40" s="84">
        <f t="shared" si="35"/>
        <v>0.9</v>
      </c>
      <c r="R40" s="77">
        <f aca="true" t="shared" si="39" ref="R40:Z40">IF(ISNUMBER(R28),R28*$Q6*R$2,"")</f>
        <v>44.82</v>
      </c>
      <c r="S40" s="78">
        <f t="shared" si="39"/>
        <v>52.29</v>
      </c>
      <c r="T40" s="78">
        <f t="shared" si="39"/>
        <v>63.495</v>
      </c>
      <c r="U40" s="78">
        <f t="shared" si="39"/>
        <v>74.7</v>
      </c>
      <c r="V40" s="78">
        <f t="shared" si="39"/>
        <v>89.64</v>
      </c>
      <c r="W40" s="78">
        <f t="shared" si="39"/>
        <v>104.58</v>
      </c>
      <c r="X40" s="78">
        <f t="shared" si="39"/>
      </c>
      <c r="Y40" s="78">
        <f t="shared" si="39"/>
      </c>
      <c r="Z40" s="79">
        <f t="shared" si="39"/>
      </c>
      <c r="AA40" s="12"/>
    </row>
    <row r="41" spans="2:27" ht="15">
      <c r="B41" s="108"/>
      <c r="C41" s="66">
        <v>1</v>
      </c>
      <c r="D41" s="63">
        <f t="shared" si="33"/>
        <v>9</v>
      </c>
      <c r="E41" s="28"/>
      <c r="F41" s="29"/>
      <c r="G41" s="29"/>
      <c r="H41" s="29"/>
      <c r="I41" s="29"/>
      <c r="J41" s="29"/>
      <c r="K41" s="29"/>
      <c r="L41" s="29"/>
      <c r="M41" s="30"/>
      <c r="Q41" s="84">
        <f t="shared" si="35"/>
        <v>1.6</v>
      </c>
      <c r="R41" s="77">
        <f aca="true" t="shared" si="40" ref="R41:Z41">IF(ISNUMBER(R29),R29*$Q7*R$2,"")</f>
        <v>126.72</v>
      </c>
      <c r="S41" s="78">
        <f t="shared" si="40"/>
        <v>147.84</v>
      </c>
      <c r="T41" s="78">
        <f t="shared" si="40"/>
        <v>179.52</v>
      </c>
      <c r="U41" s="78">
        <f t="shared" si="40"/>
        <v>211.20000000000002</v>
      </c>
      <c r="V41" s="78">
        <f t="shared" si="40"/>
        <v>253.44</v>
      </c>
      <c r="W41" s="78">
        <f t="shared" si="40"/>
        <v>295.68</v>
      </c>
      <c r="X41" s="78">
        <f t="shared" si="40"/>
      </c>
      <c r="Y41" s="78">
        <f t="shared" si="40"/>
      </c>
      <c r="Z41" s="79">
        <f t="shared" si="40"/>
      </c>
      <c r="AA41" s="13"/>
    </row>
    <row r="42" spans="2:27" ht="15">
      <c r="B42" s="108"/>
      <c r="C42" s="16" t="s">
        <v>49</v>
      </c>
      <c r="D42" s="63">
        <f t="shared" si="33"/>
        <v>16</v>
      </c>
      <c r="E42" s="28"/>
      <c r="F42" s="29"/>
      <c r="G42" s="29"/>
      <c r="H42" s="29"/>
      <c r="I42" s="29"/>
      <c r="J42" s="29"/>
      <c r="K42" s="29"/>
      <c r="L42" s="29"/>
      <c r="M42" s="30"/>
      <c r="Q42" s="84">
        <f t="shared" si="35"/>
        <v>3</v>
      </c>
      <c r="R42" s="77">
        <f aca="true" t="shared" si="41" ref="R42:Z42">IF(ISNUMBER(R30),R30*$Q8*R$2,"")</f>
        <v>414</v>
      </c>
      <c r="S42" s="78">
        <f t="shared" si="41"/>
        <v>482.99999999999994</v>
      </c>
      <c r="T42" s="78">
        <f t="shared" si="41"/>
        <v>586.5</v>
      </c>
      <c r="U42" s="78">
        <f t="shared" si="41"/>
        <v>690</v>
      </c>
      <c r="V42" s="78">
        <f t="shared" si="41"/>
        <v>828</v>
      </c>
      <c r="W42" s="78">
        <f t="shared" si="41"/>
        <v>965.9999999999999</v>
      </c>
      <c r="X42" s="78">
        <f t="shared" si="41"/>
      </c>
      <c r="Y42" s="78">
        <f t="shared" si="41"/>
      </c>
      <c r="Z42" s="79">
        <f t="shared" si="41"/>
      </c>
      <c r="AA42" s="12"/>
    </row>
    <row r="43" spans="2:27" ht="15">
      <c r="B43" s="108"/>
      <c r="C43" s="16" t="s">
        <v>53</v>
      </c>
      <c r="D43" s="63">
        <f t="shared" si="33"/>
        <v>30</v>
      </c>
      <c r="E43" s="31"/>
      <c r="F43" s="32"/>
      <c r="G43" s="32"/>
      <c r="H43" s="32"/>
      <c r="I43" s="32"/>
      <c r="J43" s="32"/>
      <c r="K43" s="32"/>
      <c r="L43" s="32"/>
      <c r="M43" s="33"/>
      <c r="Q43" s="84">
        <f t="shared" si="35"/>
        <v>5</v>
      </c>
      <c r="R43" s="77">
        <f aca="true" t="shared" si="42" ref="R43:Z43">IF(ISNUMBER(R31),R31*$Q9*R$2,"")</f>
        <v>1110</v>
      </c>
      <c r="S43" s="78">
        <f t="shared" si="42"/>
        <v>1295</v>
      </c>
      <c r="T43" s="78">
        <f t="shared" si="42"/>
        <v>1572.5</v>
      </c>
      <c r="U43" s="78">
        <f t="shared" si="42"/>
        <v>1850</v>
      </c>
      <c r="V43" s="78">
        <f t="shared" si="42"/>
        <v>2220</v>
      </c>
      <c r="W43" s="78">
        <f t="shared" si="42"/>
        <v>2590</v>
      </c>
      <c r="X43" s="78">
        <f t="shared" si="42"/>
      </c>
      <c r="Y43" s="78">
        <f t="shared" si="42"/>
      </c>
      <c r="Z43" s="79">
        <f t="shared" si="42"/>
      </c>
      <c r="AA43" s="12"/>
    </row>
    <row r="44" spans="17:27" ht="15">
      <c r="Q44" s="84">
        <f t="shared" si="35"/>
        <v>9</v>
      </c>
      <c r="R44" s="77">
        <f aca="true" t="shared" si="43" ref="R44:Z44">IF(ISNUMBER(R32),R32*$Q10*R$2,"")</f>
      </c>
      <c r="S44" s="78">
        <f t="shared" si="43"/>
      </c>
      <c r="T44" s="78">
        <f t="shared" si="43"/>
      </c>
      <c r="U44" s="78">
        <f t="shared" si="43"/>
      </c>
      <c r="V44" s="78">
        <f t="shared" si="43"/>
      </c>
      <c r="W44" s="78">
        <f t="shared" si="43"/>
      </c>
      <c r="X44" s="78">
        <f t="shared" si="43"/>
      </c>
      <c r="Y44" s="78">
        <f t="shared" si="43"/>
      </c>
      <c r="Z44" s="79">
        <f t="shared" si="43"/>
      </c>
      <c r="AA44" s="12"/>
    </row>
    <row r="45" spans="5:27" ht="15">
      <c r="E45" s="18" t="s">
        <v>7</v>
      </c>
      <c r="F45" s="18"/>
      <c r="G45" s="18"/>
      <c r="H45" s="18"/>
      <c r="I45" s="18"/>
      <c r="J45" s="18"/>
      <c r="K45" s="18"/>
      <c r="L45" s="18"/>
      <c r="M45" s="18"/>
      <c r="Q45" s="84">
        <f t="shared" si="35"/>
        <v>16</v>
      </c>
      <c r="R45" s="77">
        <f aca="true" t="shared" si="44" ref="R45:Z45">IF(ISNUMBER(R33),R33*$Q11*R$2,"")</f>
      </c>
      <c r="S45" s="78">
        <f t="shared" si="44"/>
      </c>
      <c r="T45" s="78">
        <f t="shared" si="44"/>
      </c>
      <c r="U45" s="78">
        <f t="shared" si="44"/>
      </c>
      <c r="V45" s="78">
        <f t="shared" si="44"/>
      </c>
      <c r="W45" s="78">
        <f t="shared" si="44"/>
      </c>
      <c r="X45" s="78">
        <f t="shared" si="44"/>
      </c>
      <c r="Y45" s="78">
        <f t="shared" si="44"/>
      </c>
      <c r="Z45" s="79">
        <f t="shared" si="44"/>
      </c>
      <c r="AA45" s="2"/>
    </row>
    <row r="46" spans="5:27" ht="15">
      <c r="E46" t="s">
        <v>9</v>
      </c>
      <c r="Q46" s="84">
        <f t="shared" si="35"/>
        <v>30</v>
      </c>
      <c r="R46" s="80">
        <f aca="true" t="shared" si="45" ref="R46:Z46">IF(ISNUMBER(R34),R34*$Q12*R$2,"")</f>
      </c>
      <c r="S46" s="81">
        <f t="shared" si="45"/>
      </c>
      <c r="T46" s="81">
        <f t="shared" si="45"/>
      </c>
      <c r="U46" s="81">
        <f t="shared" si="45"/>
      </c>
      <c r="V46" s="81">
        <f t="shared" si="45"/>
      </c>
      <c r="W46" s="81">
        <f t="shared" si="45"/>
      </c>
      <c r="X46" s="81">
        <f t="shared" si="45"/>
      </c>
      <c r="Y46" s="81">
        <f t="shared" si="45"/>
      </c>
      <c r="Z46" s="82">
        <f t="shared" si="45"/>
      </c>
      <c r="AA46" s="2"/>
    </row>
    <row r="48" spans="3:26" ht="15">
      <c r="C48" s="1" t="s">
        <v>66</v>
      </c>
      <c r="E48" s="37">
        <f aca="true" t="shared" si="46" ref="E48:M48">IF(ISBLANK(E34),"",IF(OR($D34&lt;$I$6,E$33&lt;$I$5),IF($D34&lt;$I$6,"Alert sd!","Alert f!"),"ok"))</f>
      </c>
      <c r="F48" s="38">
        <f t="shared" si="46"/>
      </c>
      <c r="G48" s="38">
        <f t="shared" si="46"/>
      </c>
      <c r="H48" s="38">
        <f t="shared" si="46"/>
      </c>
      <c r="I48" s="38">
        <f t="shared" si="46"/>
      </c>
      <c r="J48" s="38">
        <f t="shared" si="46"/>
      </c>
      <c r="K48" s="38">
        <f t="shared" si="46"/>
      </c>
      <c r="L48" s="38">
        <f t="shared" si="46"/>
      </c>
      <c r="M48" s="39">
        <f t="shared" si="46"/>
      </c>
      <c r="P48" s="21" t="s">
        <v>67</v>
      </c>
      <c r="Q48" s="2"/>
      <c r="R48" s="61">
        <f>IF(ISNUMBER(R37),(R37-R3)/MIN(R37,R3),"")</f>
      </c>
      <c r="S48" s="61">
        <f aca="true" t="shared" si="47" ref="S48:Z48">IF(ISNUMBER(S37),(S37-S3)/MIN(S37,S3),"")</f>
      </c>
      <c r="T48" s="61">
        <f t="shared" si="47"/>
      </c>
      <c r="U48" s="61">
        <f t="shared" si="47"/>
      </c>
      <c r="V48" s="61">
        <f t="shared" si="47"/>
      </c>
      <c r="W48" s="61">
        <f t="shared" si="47"/>
      </c>
      <c r="X48" s="61">
        <f t="shared" si="47"/>
      </c>
      <c r="Y48" s="61">
        <f t="shared" si="47"/>
      </c>
      <c r="Z48" s="61">
        <f t="shared" si="47"/>
      </c>
    </row>
    <row r="49" spans="5:26" ht="15">
      <c r="E49" s="40">
        <f aca="true" t="shared" si="48" ref="E49:M49">IF(ISBLANK(E35),"",IF(OR($D35&lt;$I$6,E$33&lt;$I$5),IF($D35&lt;$I$6,"Alert sd!","Alert f!"),"ok"))</f>
      </c>
      <c r="F49" s="41">
        <f t="shared" si="48"/>
      </c>
      <c r="G49" s="41">
        <f t="shared" si="48"/>
      </c>
      <c r="H49" s="41">
        <f t="shared" si="48"/>
      </c>
      <c r="I49" s="41">
        <f t="shared" si="48"/>
      </c>
      <c r="J49" s="41">
        <f t="shared" si="48"/>
      </c>
      <c r="K49" s="41">
        <f t="shared" si="48"/>
      </c>
      <c r="L49" s="41">
        <f t="shared" si="48"/>
      </c>
      <c r="M49" s="42">
        <f t="shared" si="48"/>
      </c>
      <c r="P49" s="1" t="s">
        <v>68</v>
      </c>
      <c r="Q49" s="46"/>
      <c r="R49" s="61">
        <f aca="true" t="shared" si="49" ref="R49:Z49">IF(ISNUMBER(R38),(R38-R4)/MIN(R38,R4),"")</f>
      </c>
      <c r="S49" s="61">
        <f t="shared" si="49"/>
      </c>
      <c r="T49" s="61">
        <f t="shared" si="49"/>
      </c>
      <c r="U49" s="61">
        <f t="shared" si="49"/>
      </c>
      <c r="V49" s="61">
        <f t="shared" si="49"/>
      </c>
      <c r="W49" s="61">
        <f t="shared" si="49"/>
      </c>
      <c r="X49" s="61">
        <f t="shared" si="49"/>
      </c>
      <c r="Y49" s="61">
        <f t="shared" si="49"/>
      </c>
      <c r="Z49" s="61">
        <f t="shared" si="49"/>
      </c>
    </row>
    <row r="50" spans="5:26" ht="15">
      <c r="E50" s="40" t="str">
        <f aca="true" t="shared" si="50" ref="E50:M50">IF(ISBLANK(E36),"",IF(OR($D36&lt;$I$6,E$33&lt;$I$5),IF($D36&lt;$I$6,"Alert sd!","Alert f!"),"ok"))</f>
        <v>ok</v>
      </c>
      <c r="F50" s="41" t="str">
        <f t="shared" si="50"/>
        <v>ok</v>
      </c>
      <c r="G50" s="41" t="str">
        <f t="shared" si="50"/>
        <v>ok</v>
      </c>
      <c r="H50" s="41" t="str">
        <f t="shared" si="50"/>
        <v>ok</v>
      </c>
      <c r="I50" s="41" t="str">
        <f t="shared" si="50"/>
        <v>ok</v>
      </c>
      <c r="J50" s="41" t="str">
        <f t="shared" si="50"/>
        <v>ok</v>
      </c>
      <c r="K50" s="41">
        <f t="shared" si="50"/>
      </c>
      <c r="L50" s="41">
        <f t="shared" si="50"/>
      </c>
      <c r="M50" s="42">
        <f t="shared" si="50"/>
      </c>
      <c r="P50" s="1" t="s">
        <v>69</v>
      </c>
      <c r="Q50" s="2"/>
      <c r="R50" s="61">
        <f aca="true" t="shared" si="51" ref="R50:Z50">IF(ISNUMBER(R39),(R39-R5)/MIN(R39,R5),"")</f>
        <v>0.09266666666666623</v>
      </c>
      <c r="S50" s="61">
        <f t="shared" si="51"/>
        <v>0.09816666666666761</v>
      </c>
      <c r="T50" s="61">
        <f t="shared" si="51"/>
        <v>0.10641666666666823</v>
      </c>
      <c r="U50" s="61">
        <f t="shared" si="51"/>
        <v>0.11466666666666757</v>
      </c>
      <c r="V50" s="61">
        <f t="shared" si="51"/>
        <v>0.12566666666666618</v>
      </c>
      <c r="W50" s="61">
        <f t="shared" si="51"/>
        <v>0.13666666666666655</v>
      </c>
      <c r="X50" s="61">
        <f t="shared" si="51"/>
      </c>
      <c r="Y50" s="61">
        <f t="shared" si="51"/>
      </c>
      <c r="Z50" s="61">
        <f t="shared" si="51"/>
      </c>
    </row>
    <row r="51" spans="5:26" ht="15">
      <c r="E51" s="40" t="str">
        <f aca="true" t="shared" si="52" ref="E51:M51">IF(ISBLANK(E37),"",IF(OR($D37&lt;$I$6,E$33&lt;$I$5),IF($D37&lt;$I$6,"Alert sd!","Alert f!"),"ok"))</f>
        <v>ok</v>
      </c>
      <c r="F51" s="41" t="str">
        <f t="shared" si="52"/>
        <v>ok</v>
      </c>
      <c r="G51" s="41" t="str">
        <f t="shared" si="52"/>
        <v>ok</v>
      </c>
      <c r="H51" s="41" t="str">
        <f t="shared" si="52"/>
        <v>ok</v>
      </c>
      <c r="I51" s="41" t="str">
        <f t="shared" si="52"/>
        <v>ok</v>
      </c>
      <c r="J51" s="41" t="str">
        <f t="shared" si="52"/>
        <v>ok</v>
      </c>
      <c r="K51" s="41">
        <f t="shared" si="52"/>
      </c>
      <c r="L51" s="41">
        <f t="shared" si="52"/>
      </c>
      <c r="M51" s="42">
        <f t="shared" si="52"/>
      </c>
      <c r="R51" s="61">
        <f aca="true" t="shared" si="53" ref="R51:Z51">IF(ISNUMBER(R40),(R40-R6)/MIN(R40,R6),"")</f>
        <v>-0.06586240111165358</v>
      </c>
      <c r="S51" s="61">
        <f t="shared" si="53"/>
        <v>-0.05651576751957479</v>
      </c>
      <c r="T51" s="61">
        <f t="shared" si="53"/>
        <v>-0.04279918198197563</v>
      </c>
      <c r="U51" s="61">
        <f t="shared" si="53"/>
        <v>-0.02943419246606637</v>
      </c>
      <c r="V51" s="61">
        <f t="shared" si="53"/>
        <v>-0.012138160607583486</v>
      </c>
      <c r="W51" s="61">
        <f t="shared" si="53"/>
        <v>0.00460740740740655</v>
      </c>
      <c r="X51" s="61">
        <f t="shared" si="53"/>
      </c>
      <c r="Y51" s="61">
        <f t="shared" si="53"/>
      </c>
      <c r="Z51" s="61">
        <f t="shared" si="53"/>
      </c>
    </row>
    <row r="52" spans="5:27" ht="15">
      <c r="E52" s="40" t="str">
        <f aca="true" t="shared" si="54" ref="E52:M52">IF(ISBLANK(E38),"",IF(OR($D38&lt;$I$6,E$33&lt;$I$5),IF($D38&lt;$I$6,"Alert sd!","Alert f!"),"ok"))</f>
        <v>ok</v>
      </c>
      <c r="F52" s="41" t="str">
        <f t="shared" si="54"/>
        <v>ok</v>
      </c>
      <c r="G52" s="41" t="str">
        <f t="shared" si="54"/>
        <v>ok</v>
      </c>
      <c r="H52" s="41" t="str">
        <f t="shared" si="54"/>
        <v>ok</v>
      </c>
      <c r="I52" s="41" t="str">
        <f t="shared" si="54"/>
        <v>ok</v>
      </c>
      <c r="J52" s="41" t="str">
        <f t="shared" si="54"/>
        <v>ok</v>
      </c>
      <c r="K52" s="41">
        <f t="shared" si="54"/>
      </c>
      <c r="L52" s="41">
        <f t="shared" si="54"/>
      </c>
      <c r="M52" s="42">
        <f t="shared" si="54"/>
      </c>
      <c r="R52" s="61">
        <f aca="true" t="shared" si="55" ref="R52:Z52">IF(ISNUMBER(R41),(R41-R7)/MIN(R41,R7),"")</f>
        <v>-0.14423021912008746</v>
      </c>
      <c r="S52" s="61">
        <f t="shared" si="55"/>
        <v>-0.12720509496702745</v>
      </c>
      <c r="T52" s="61">
        <f t="shared" si="55"/>
        <v>-0.10259661502839153</v>
      </c>
      <c r="U52" s="61">
        <f t="shared" si="55"/>
        <v>-0.07903965470731025</v>
      </c>
      <c r="V52" s="61">
        <f t="shared" si="55"/>
        <v>-0.049152809106645996</v>
      </c>
      <c r="W52" s="61">
        <f t="shared" si="55"/>
        <v>-0.02087693328569185</v>
      </c>
      <c r="X52" s="61">
        <f t="shared" si="55"/>
      </c>
      <c r="Y52" s="61">
        <f t="shared" si="55"/>
      </c>
      <c r="Z52" s="61">
        <f t="shared" si="55"/>
      </c>
      <c r="AA52" s="2"/>
    </row>
    <row r="53" spans="5:27" ht="15">
      <c r="E53" s="40" t="str">
        <f aca="true" t="shared" si="56" ref="E53:M53">IF(ISBLANK(E39),"",IF(OR($D39&lt;$I$6,E$33&lt;$I$5),IF($D39&lt;$I$6,"Alert sd!","Alert f!"),"ok"))</f>
        <v>ok</v>
      </c>
      <c r="F53" s="41" t="str">
        <f t="shared" si="56"/>
        <v>ok</v>
      </c>
      <c r="G53" s="41" t="str">
        <f t="shared" si="56"/>
        <v>ok</v>
      </c>
      <c r="H53" s="41" t="str">
        <f t="shared" si="56"/>
        <v>ok</v>
      </c>
      <c r="I53" s="41" t="str">
        <f t="shared" si="56"/>
        <v>ok</v>
      </c>
      <c r="J53" s="41" t="str">
        <f t="shared" si="56"/>
        <v>ok</v>
      </c>
      <c r="K53" s="41">
        <f t="shared" si="56"/>
      </c>
      <c r="L53" s="41">
        <f t="shared" si="56"/>
      </c>
      <c r="M53" s="42">
        <f t="shared" si="56"/>
      </c>
      <c r="R53" s="61">
        <f aca="true" t="shared" si="57" ref="R53:Z53">IF(ISNUMBER(R42),(R42-R8)/MIN(R42,R8),"")</f>
        <v>-0.14082900240841664</v>
      </c>
      <c r="S53" s="61">
        <f t="shared" si="57"/>
        <v>-0.11166007905138389</v>
      </c>
      <c r="T53" s="61">
        <f t="shared" si="57"/>
        <v>-0.07060013085112753</v>
      </c>
      <c r="U53" s="61">
        <f t="shared" si="57"/>
        <v>-0.032465297694160275</v>
      </c>
      <c r="V53" s="61">
        <f t="shared" si="57"/>
        <v>0.014555555555555847</v>
      </c>
      <c r="W53" s="61">
        <f t="shared" si="57"/>
        <v>0.06055555555555525</v>
      </c>
      <c r="X53" s="61">
        <f t="shared" si="57"/>
      </c>
      <c r="Y53" s="61">
        <f t="shared" si="57"/>
      </c>
      <c r="Z53" s="61">
        <f t="shared" si="57"/>
      </c>
      <c r="AA53" s="2"/>
    </row>
    <row r="54" spans="5:27" ht="15">
      <c r="E54" s="40" t="str">
        <f aca="true" t="shared" si="58" ref="E54:M54">IF(ISBLANK(E40),"",IF(OR($D40&lt;$I$6,E$33&lt;$I$5),IF($D40&lt;$I$6,"Alert sd!","Alert f!"),"ok"))</f>
        <v>ok</v>
      </c>
      <c r="F54" s="41" t="str">
        <f t="shared" si="58"/>
        <v>ok</v>
      </c>
      <c r="G54" s="41" t="str">
        <f t="shared" si="58"/>
        <v>ok</v>
      </c>
      <c r="H54" s="41" t="str">
        <f t="shared" si="58"/>
        <v>ok</v>
      </c>
      <c r="I54" s="41" t="str">
        <f t="shared" si="58"/>
        <v>ok</v>
      </c>
      <c r="J54" s="41" t="str">
        <f t="shared" si="58"/>
        <v>ok</v>
      </c>
      <c r="K54" s="41">
        <f t="shared" si="58"/>
      </c>
      <c r="L54" s="41">
        <f t="shared" si="58"/>
      </c>
      <c r="M54" s="42">
        <f t="shared" si="58"/>
      </c>
      <c r="R54" s="61">
        <f aca="true" t="shared" si="59" ref="R54:Z54">IF(ISNUMBER(R43),(R43-R9)/MIN(R43,R9),"")</f>
        <v>-0.06967125436782443</v>
      </c>
      <c r="S54" s="61">
        <f t="shared" si="59"/>
        <v>-0.02894772945534394</v>
      </c>
      <c r="T54" s="61">
        <f t="shared" si="59"/>
        <v>0.02736666666666661</v>
      </c>
      <c r="U54" s="61">
        <f t="shared" si="59"/>
        <v>0.0828666666666667</v>
      </c>
      <c r="V54" s="61">
        <f t="shared" si="59"/>
        <v>0.15686666666666663</v>
      </c>
      <c r="W54" s="61">
        <f t="shared" si="59"/>
        <v>0.23086666666666666</v>
      </c>
      <c r="X54" s="61">
        <f t="shared" si="59"/>
      </c>
      <c r="Y54" s="61">
        <f t="shared" si="59"/>
      </c>
      <c r="Z54" s="61">
        <f t="shared" si="59"/>
      </c>
      <c r="AA54" s="2"/>
    </row>
    <row r="55" spans="5:27" ht="15">
      <c r="E55" s="40">
        <f aca="true" t="shared" si="60" ref="E55:M55">IF(ISBLANK(E41),"",IF(OR($D41&lt;$I$6,E$33&lt;$I$5),IF($D41&lt;$I$6,"Alert sd!","Alert f!"),"ok"))</f>
      </c>
      <c r="F55" s="41">
        <f t="shared" si="60"/>
      </c>
      <c r="G55" s="41">
        <f t="shared" si="60"/>
      </c>
      <c r="H55" s="41">
        <f t="shared" si="60"/>
      </c>
      <c r="I55" s="41">
        <f t="shared" si="60"/>
      </c>
      <c r="J55" s="41">
        <f t="shared" si="60"/>
      </c>
      <c r="K55" s="41">
        <f t="shared" si="60"/>
      </c>
      <c r="L55" s="41">
        <f t="shared" si="60"/>
      </c>
      <c r="M55" s="42">
        <f t="shared" si="60"/>
      </c>
      <c r="R55" s="61">
        <f aca="true" t="shared" si="61" ref="R55:Z55">IF(ISNUMBER(R44),(R44-R10)/MIN(R44,R10),"")</f>
      </c>
      <c r="S55" s="61">
        <f t="shared" si="61"/>
      </c>
      <c r="T55" s="61">
        <f t="shared" si="61"/>
      </c>
      <c r="U55" s="61">
        <f t="shared" si="61"/>
      </c>
      <c r="V55" s="61">
        <f t="shared" si="61"/>
      </c>
      <c r="W55" s="61">
        <f t="shared" si="61"/>
      </c>
      <c r="X55" s="61">
        <f t="shared" si="61"/>
      </c>
      <c r="Y55" s="61">
        <f t="shared" si="61"/>
      </c>
      <c r="Z55" s="61">
        <f t="shared" si="61"/>
      </c>
      <c r="AA55" s="2"/>
    </row>
    <row r="56" spans="5:27" ht="15">
      <c r="E56" s="40">
        <f aca="true" t="shared" si="62" ref="E56:M56">IF(ISBLANK(E42),"",IF(OR($D42&lt;$I$6,E$33&lt;$I$5),IF($D42&lt;$I$6,"Alert sd!","Alert f!"),"ok"))</f>
      </c>
      <c r="F56" s="41">
        <f t="shared" si="62"/>
      </c>
      <c r="G56" s="41">
        <f t="shared" si="62"/>
      </c>
      <c r="H56" s="41">
        <f t="shared" si="62"/>
      </c>
      <c r="I56" s="41">
        <f t="shared" si="62"/>
      </c>
      <c r="J56" s="41">
        <f t="shared" si="62"/>
      </c>
      <c r="K56" s="41">
        <f t="shared" si="62"/>
      </c>
      <c r="L56" s="41">
        <f t="shared" si="62"/>
      </c>
      <c r="M56" s="42">
        <f t="shared" si="62"/>
      </c>
      <c r="R56" s="61">
        <f aca="true" t="shared" si="63" ref="R56:Z56">IF(ISNUMBER(R45),(R45-R11)/MIN(R45,R11),"")</f>
      </c>
      <c r="S56" s="61">
        <f t="shared" si="63"/>
      </c>
      <c r="T56" s="61">
        <f t="shared" si="63"/>
      </c>
      <c r="U56" s="61">
        <f t="shared" si="63"/>
      </c>
      <c r="V56" s="61">
        <f t="shared" si="63"/>
      </c>
      <c r="W56" s="61">
        <f t="shared" si="63"/>
      </c>
      <c r="X56" s="61">
        <f t="shared" si="63"/>
      </c>
      <c r="Y56" s="61">
        <f t="shared" si="63"/>
      </c>
      <c r="Z56" s="61">
        <f t="shared" si="63"/>
      </c>
      <c r="AA56" s="2"/>
    </row>
    <row r="57" spans="5:27" ht="15">
      <c r="E57" s="43">
        <f aca="true" t="shared" si="64" ref="E57:M57">IF(ISBLANK(E43),"",IF(OR($D43&lt;$I$6,E$33&lt;$I$5),IF($D43&lt;$I$6,"Alert sd!","Alert f!"),"ok"))</f>
      </c>
      <c r="F57" s="44">
        <f t="shared" si="64"/>
      </c>
      <c r="G57" s="44">
        <f t="shared" si="64"/>
      </c>
      <c r="H57" s="44">
        <f t="shared" si="64"/>
      </c>
      <c r="I57" s="44">
        <f t="shared" si="64"/>
      </c>
      <c r="J57" s="44">
        <f t="shared" si="64"/>
      </c>
      <c r="K57" s="44">
        <f t="shared" si="64"/>
      </c>
      <c r="L57" s="44">
        <f t="shared" si="64"/>
      </c>
      <c r="M57" s="45">
        <f t="shared" si="64"/>
      </c>
      <c r="N57" s="50"/>
      <c r="Q57" s="2"/>
      <c r="R57" s="61">
        <f aca="true" t="shared" si="65" ref="R57:Z57">IF(ISNUMBER(R46),(R46-R12)/MIN(R46,R12),"")</f>
      </c>
      <c r="S57" s="61">
        <f t="shared" si="65"/>
      </c>
      <c r="T57" s="61">
        <f t="shared" si="65"/>
      </c>
      <c r="U57" s="61">
        <f t="shared" si="65"/>
      </c>
      <c r="V57" s="61">
        <f t="shared" si="65"/>
      </c>
      <c r="W57" s="61">
        <f t="shared" si="65"/>
      </c>
      <c r="X57" s="61">
        <f t="shared" si="65"/>
      </c>
      <c r="Y57" s="61">
        <f t="shared" si="65"/>
      </c>
      <c r="Z57" s="61">
        <f t="shared" si="65"/>
      </c>
      <c r="AA57" s="2"/>
    </row>
    <row r="58" ht="15">
      <c r="AA58" s="2"/>
    </row>
    <row r="59" spans="2:26" ht="15">
      <c r="B59" s="21" t="s">
        <v>44</v>
      </c>
      <c r="D59" s="89"/>
      <c r="E59" s="90"/>
      <c r="F59" s="90"/>
      <c r="G59" s="90"/>
      <c r="H59" s="90"/>
      <c r="I59" s="90"/>
      <c r="J59" s="90"/>
      <c r="K59" s="90"/>
      <c r="L59" s="90"/>
      <c r="M59" s="90"/>
      <c r="N59" s="91"/>
      <c r="P59" s="21" t="s">
        <v>30</v>
      </c>
      <c r="Q59" s="2"/>
      <c r="R59" s="61">
        <f>IF(ISNUMBER(R48),R48^2,"")</f>
      </c>
      <c r="S59" s="61">
        <f aca="true" t="shared" si="66" ref="S59:Z60">IF(ISNUMBER(S48),S48^2,"")</f>
      </c>
      <c r="T59" s="61">
        <f t="shared" si="66"/>
      </c>
      <c r="U59" s="61">
        <f t="shared" si="66"/>
      </c>
      <c r="V59" s="61">
        <f t="shared" si="66"/>
      </c>
      <c r="W59" s="61">
        <f t="shared" si="66"/>
      </c>
      <c r="X59" s="61">
        <f t="shared" si="66"/>
      </c>
      <c r="Y59" s="61">
        <f t="shared" si="66"/>
      </c>
      <c r="Z59" s="61">
        <f t="shared" si="66"/>
      </c>
    </row>
    <row r="60" spans="4:27" ht="15">
      <c r="D60" s="92"/>
      <c r="E60" s="111" t="s">
        <v>83</v>
      </c>
      <c r="F60" s="111"/>
      <c r="G60" s="111"/>
      <c r="H60" s="111"/>
      <c r="I60" s="111"/>
      <c r="J60" s="111"/>
      <c r="K60" s="111"/>
      <c r="L60" s="111"/>
      <c r="M60" s="111"/>
      <c r="N60" s="93"/>
      <c r="P60" s="1" t="s">
        <v>22</v>
      </c>
      <c r="Q60" s="2"/>
      <c r="R60" s="61">
        <f>IF(ISNUMBER(R49),R49^2,"")</f>
      </c>
      <c r="S60" s="61">
        <f t="shared" si="66"/>
      </c>
      <c r="T60" s="61">
        <f t="shared" si="66"/>
      </c>
      <c r="U60" s="61">
        <f t="shared" si="66"/>
      </c>
      <c r="V60" s="61">
        <f t="shared" si="66"/>
      </c>
      <c r="W60" s="61">
        <f t="shared" si="66"/>
      </c>
      <c r="X60" s="61">
        <f t="shared" si="66"/>
      </c>
      <c r="Y60" s="61">
        <f t="shared" si="66"/>
      </c>
      <c r="Z60" s="61">
        <f t="shared" si="66"/>
      </c>
      <c r="AA60" s="2"/>
    </row>
    <row r="61" spans="4:27" ht="15">
      <c r="D61" s="92"/>
      <c r="E61" s="46">
        <v>0</v>
      </c>
      <c r="F61" s="46">
        <v>0</v>
      </c>
      <c r="G61" s="46">
        <v>1</v>
      </c>
      <c r="H61" s="46">
        <v>2</v>
      </c>
      <c r="I61" s="46">
        <v>3</v>
      </c>
      <c r="J61" s="46">
        <v>4</v>
      </c>
      <c r="K61" s="46">
        <v>5</v>
      </c>
      <c r="L61" s="46">
        <v>6</v>
      </c>
      <c r="M61" s="46">
        <v>7</v>
      </c>
      <c r="N61" s="93"/>
      <c r="Q61" s="2"/>
      <c r="R61" s="61">
        <f>IF(ISNUMBER(R50),R50^2,"")</f>
        <v>0.00858711111111103</v>
      </c>
      <c r="S61" s="61">
        <f>IF(ISNUMBER(S50),S50^2,"")</f>
        <v>0.00963669444444463</v>
      </c>
      <c r="T61" s="61">
        <f aca="true" t="shared" si="67" ref="T61:Z61">IF(ISNUMBER(T50),T50^2,"")</f>
        <v>0.011324506944444777</v>
      </c>
      <c r="U61" s="61">
        <f t="shared" si="67"/>
        <v>0.013148444444444652</v>
      </c>
      <c r="V61" s="61">
        <f t="shared" si="67"/>
        <v>0.01579211111111099</v>
      </c>
      <c r="W61" s="61">
        <f t="shared" si="67"/>
        <v>0.018677777777777745</v>
      </c>
      <c r="X61" s="61">
        <f t="shared" si="67"/>
      </c>
      <c r="Y61" s="61">
        <f t="shared" si="67"/>
      </c>
      <c r="Z61" s="61">
        <f t="shared" si="67"/>
      </c>
      <c r="AA61" s="2"/>
    </row>
    <row r="62" spans="4:27" ht="15">
      <c r="D62" s="92"/>
      <c r="E62" s="51">
        <f>VLOOKUP($E$63+ROUND(E61/$K$31,2),$E$69:$F$105,2,TRUE)</f>
        <v>1.2</v>
      </c>
      <c r="F62" s="101">
        <f>IF(I5&lt;1,1,VLOOKUP($E$63+ROUND(1/$K$31,2),$E$69:$F$105,2,TRUE))</f>
        <v>1.4</v>
      </c>
      <c r="G62" s="46"/>
      <c r="H62" s="46"/>
      <c r="I62" s="46"/>
      <c r="J62" s="46"/>
      <c r="K62" s="46"/>
      <c r="L62" s="46"/>
      <c r="M62" s="46"/>
      <c r="N62" s="93"/>
      <c r="R62" s="61">
        <f aca="true" t="shared" si="68" ref="R62:X68">IF(ISNUMBER(R51),R51^2,"")</f>
        <v>0.004337855880192346</v>
      </c>
      <c r="S62" s="61">
        <f t="shared" si="68"/>
        <v>0.0031940319783266245</v>
      </c>
      <c r="T62" s="61">
        <f>IF(ISNUMBER(T51),T51^2,"")</f>
        <v>0.0018317699783262675</v>
      </c>
      <c r="U62" s="61">
        <f aca="true" t="shared" si="69" ref="U62:Z62">IF(ISNUMBER(U51),U51^2,"")</f>
        <v>0.0008663716861294383</v>
      </c>
      <c r="V62" s="61">
        <f t="shared" si="69"/>
        <v>0.00014733494293549148</v>
      </c>
      <c r="W62" s="61">
        <f t="shared" si="69"/>
        <v>2.122820301782475E-05</v>
      </c>
      <c r="X62" s="61">
        <f t="shared" si="69"/>
      </c>
      <c r="Y62" s="61">
        <f t="shared" si="69"/>
      </c>
      <c r="Z62" s="61">
        <f t="shared" si="69"/>
      </c>
      <c r="AA62" s="2"/>
    </row>
    <row r="63" spans="4:27" ht="15">
      <c r="D63" s="92"/>
      <c r="E63" s="103">
        <f>IF(I5&lt;1,1,VLOOKUP($I$5,$F$69:$G$105,2,TRUE))</f>
        <v>1.67</v>
      </c>
      <c r="F63" s="99">
        <f>VLOOKUP(H31,$F$69:$G$105,2,TRUE)</f>
        <v>2</v>
      </c>
      <c r="G63" s="102" t="s">
        <v>40</v>
      </c>
      <c r="H63" s="100"/>
      <c r="I63" s="100"/>
      <c r="J63" s="100"/>
      <c r="K63" s="100"/>
      <c r="L63" s="100"/>
      <c r="M63" s="100"/>
      <c r="N63" s="93"/>
      <c r="R63" s="61">
        <f t="shared" si="68"/>
        <v>0.020802356107428442</v>
      </c>
      <c r="S63" s="61">
        <f t="shared" si="68"/>
        <v>0.01618113618557047</v>
      </c>
      <c r="T63" s="61">
        <f t="shared" si="68"/>
        <v>0.010526065415283975</v>
      </c>
      <c r="U63" s="61">
        <f>IF(ISNUMBER(U52),U52^2,"")</f>
        <v>0.006247267016250832</v>
      </c>
      <c r="V63" s="61">
        <f>IF(ISNUMBER(V52),V52^2,"")</f>
        <v>0.0024159986430743814</v>
      </c>
      <c r="W63" s="61">
        <f>IF(ISNUMBER(W52),W52^2,"")</f>
        <v>0.00043584634341522826</v>
      </c>
      <c r="X63" s="61">
        <f>IF(ISNUMBER(X52),X52^2,"")</f>
      </c>
      <c r="Y63" s="61">
        <f>IF(ISNUMBER(Y52),Y52^2,"")</f>
      </c>
      <c r="Z63" s="61">
        <f>IF(ISNUMBER(Z52),Z52^2,"")</f>
      </c>
      <c r="AA63" s="2"/>
    </row>
    <row r="64" spans="4:27" ht="15">
      <c r="D64" s="92"/>
      <c r="E64" s="46">
        <f>I5</f>
        <v>1.2</v>
      </c>
      <c r="F64" s="46">
        <f aca="true" t="shared" si="70" ref="F64:M64">VLOOKUP($F$63+ROUND(F61/$K$31,2),$E$69:$F$105,2,TRUE)</f>
        <v>1.4</v>
      </c>
      <c r="G64" s="46">
        <f t="shared" si="70"/>
        <v>1.7</v>
      </c>
      <c r="H64" s="46">
        <f t="shared" si="70"/>
        <v>2</v>
      </c>
      <c r="I64" s="46">
        <f t="shared" si="70"/>
        <v>2.4</v>
      </c>
      <c r="J64" s="46">
        <f t="shared" si="70"/>
        <v>2.8</v>
      </c>
      <c r="K64" s="46">
        <f t="shared" si="70"/>
        <v>3.3</v>
      </c>
      <c r="L64" s="46">
        <f t="shared" si="70"/>
        <v>4</v>
      </c>
      <c r="M64" s="46">
        <f t="shared" si="70"/>
        <v>4.8</v>
      </c>
      <c r="N64" s="93"/>
      <c r="R64" s="61">
        <f t="shared" si="68"/>
        <v>0.01983280791934982</v>
      </c>
      <c r="S64" s="61">
        <f t="shared" si="68"/>
        <v>0.0124679732537613</v>
      </c>
      <c r="T64" s="61">
        <f t="shared" si="68"/>
        <v>0.004984378476196329</v>
      </c>
      <c r="U64" s="61">
        <f t="shared" si="68"/>
        <v>0.0010539955543704485</v>
      </c>
      <c r="V64" s="61">
        <f>IF(ISNUMBER(V53),V53^2,"")</f>
        <v>0.00021186419753087268</v>
      </c>
      <c r="W64" s="61">
        <f>IF(ISNUMBER(W53),W53^2,"")</f>
        <v>0.0036669753086419387</v>
      </c>
      <c r="X64" s="61">
        <f>IF(ISNUMBER(X53),X53^2,"")</f>
      </c>
      <c r="Y64" s="61">
        <f>IF(ISNUMBER(Y53),Y53^2,"")</f>
      </c>
      <c r="Z64" s="61">
        <f>IF(ISNUMBER(Z53),Z53^2,"")</f>
      </c>
      <c r="AA64" s="2"/>
    </row>
    <row r="65" spans="4:27" ht="15">
      <c r="D65" s="94"/>
      <c r="E65" s="95"/>
      <c r="F65" s="95"/>
      <c r="G65" s="95"/>
      <c r="H65" s="95"/>
      <c r="I65" s="95"/>
      <c r="J65" s="95"/>
      <c r="K65" s="95"/>
      <c r="L65" s="95"/>
      <c r="M65" s="95"/>
      <c r="N65" s="96"/>
      <c r="R65" s="61">
        <f t="shared" si="68"/>
        <v>0.004854083685186094</v>
      </c>
      <c r="S65" s="61">
        <f t="shared" si="68"/>
        <v>0.0008379710406197872</v>
      </c>
      <c r="T65" s="61">
        <f t="shared" si="68"/>
        <v>0.0007489344444444412</v>
      </c>
      <c r="U65" s="61">
        <f t="shared" si="68"/>
        <v>0.00686688444444445</v>
      </c>
      <c r="V65" s="61">
        <f t="shared" si="68"/>
        <v>0.0246071511111111</v>
      </c>
      <c r="W65" s="61">
        <f>IF(ISNUMBER(W54),W54^2,"")</f>
        <v>0.053299417777777774</v>
      </c>
      <c r="X65" s="61">
        <f>IF(ISNUMBER(X54),X54^2,"")</f>
      </c>
      <c r="Y65" s="61">
        <f>IF(ISNUMBER(Y54),Y54^2,"")</f>
      </c>
      <c r="Z65" s="61">
        <f>IF(ISNUMBER(Z54),Z54^2,"")</f>
      </c>
      <c r="AA65" s="2"/>
    </row>
    <row r="66" spans="18:27" ht="15">
      <c r="R66" s="61">
        <f t="shared" si="68"/>
      </c>
      <c r="S66" s="61">
        <f t="shared" si="68"/>
      </c>
      <c r="T66" s="61">
        <f t="shared" si="68"/>
      </c>
      <c r="U66" s="61">
        <f t="shared" si="68"/>
      </c>
      <c r="V66" s="61">
        <f t="shared" si="68"/>
      </c>
      <c r="W66" s="61">
        <f t="shared" si="68"/>
      </c>
      <c r="X66" s="61">
        <f>IF(ISNUMBER(X55),X55^2,"")</f>
      </c>
      <c r="Y66" s="61">
        <f>IF(ISNUMBER(Y55),Y55^2,"")</f>
      </c>
      <c r="Z66" s="61">
        <f>IF(ISNUMBER(Z55),Z55^2,"")</f>
      </c>
      <c r="AA66" s="2"/>
    </row>
    <row r="67" spans="2:27" ht="15">
      <c r="B67" s="21" t="s">
        <v>84</v>
      </c>
      <c r="D67" s="89"/>
      <c r="E67" s="90"/>
      <c r="F67" s="90"/>
      <c r="G67" s="90"/>
      <c r="H67" s="91"/>
      <c r="R67" s="61">
        <f t="shared" si="68"/>
      </c>
      <c r="S67" s="61">
        <f t="shared" si="68"/>
      </c>
      <c r="T67" s="61">
        <f t="shared" si="68"/>
      </c>
      <c r="U67" s="61">
        <f t="shared" si="68"/>
      </c>
      <c r="V67" s="61">
        <f t="shared" si="68"/>
      </c>
      <c r="W67" s="61">
        <f t="shared" si="68"/>
      </c>
      <c r="X67" s="61">
        <f t="shared" si="68"/>
      </c>
      <c r="Y67" s="61">
        <f>IF(ISNUMBER(Y56),Y56^2,"")</f>
      </c>
      <c r="Z67" s="61">
        <f>IF(ISNUMBER(Z56),Z56^2,"")</f>
      </c>
      <c r="AA67" s="2"/>
    </row>
    <row r="68" spans="2:27" ht="15">
      <c r="B68" s="17" t="s">
        <v>85</v>
      </c>
      <c r="D68" s="92"/>
      <c r="E68" s="46" t="s">
        <v>40</v>
      </c>
      <c r="F68" s="46" t="s">
        <v>4</v>
      </c>
      <c r="G68" s="46" t="s">
        <v>40</v>
      </c>
      <c r="H68" s="93"/>
      <c r="J68" s="89"/>
      <c r="K68" s="90"/>
      <c r="L68" s="90"/>
      <c r="M68" s="90"/>
      <c r="N68" s="91"/>
      <c r="Q68" s="2"/>
      <c r="R68" s="61">
        <f t="shared" si="68"/>
      </c>
      <c r="S68" s="61">
        <f t="shared" si="68"/>
      </c>
      <c r="T68" s="61">
        <f t="shared" si="68"/>
      </c>
      <c r="U68" s="61">
        <f t="shared" si="68"/>
      </c>
      <c r="V68" s="61">
        <f t="shared" si="68"/>
      </c>
      <c r="W68" s="61">
        <f t="shared" si="68"/>
      </c>
      <c r="X68" s="61">
        <f t="shared" si="68"/>
      </c>
      <c r="Y68" s="61">
        <f>IF(ISNUMBER(Y57),Y57^2,"")</f>
      </c>
      <c r="Z68" s="61">
        <f>IF(ISNUMBER(Z57),Z57^2,"")</f>
      </c>
      <c r="AA68" s="2"/>
    </row>
    <row r="69" spans="4:15" ht="15">
      <c r="D69" s="92"/>
      <c r="E69" s="2">
        <v>1</v>
      </c>
      <c r="F69" s="2">
        <v>1</v>
      </c>
      <c r="G69" s="2">
        <v>1</v>
      </c>
      <c r="H69" s="93"/>
      <c r="J69" s="112" t="s">
        <v>82</v>
      </c>
      <c r="K69" s="111"/>
      <c r="L69" s="111"/>
      <c r="M69" s="111"/>
      <c r="N69" s="113"/>
      <c r="O69" s="105"/>
    </row>
    <row r="70" spans="4:15" ht="15">
      <c r="D70" s="92"/>
      <c r="E70" s="2">
        <v>1.33</v>
      </c>
      <c r="F70" s="2">
        <v>1.1</v>
      </c>
      <c r="G70" s="2">
        <v>1.33</v>
      </c>
      <c r="H70" s="93"/>
      <c r="J70" s="97"/>
      <c r="N70" s="93"/>
      <c r="O70" s="2"/>
    </row>
    <row r="71" spans="4:58" ht="15">
      <c r="D71" s="92"/>
      <c r="E71" s="2">
        <v>1.5</v>
      </c>
      <c r="F71" s="51">
        <v>1.2</v>
      </c>
      <c r="G71" s="2">
        <v>1.5</v>
      </c>
      <c r="H71" s="93"/>
      <c r="J71" s="92"/>
      <c r="K71" s="2"/>
      <c r="L71" s="46" t="s">
        <v>60</v>
      </c>
      <c r="M71" s="98">
        <f>VLOOKUP(($C$41*E11/C39)^(1/7),M74:M98,1)</f>
        <v>1.8</v>
      </c>
      <c r="N71" s="93"/>
      <c r="O71" s="2"/>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row>
    <row r="72" spans="4:58" ht="15">
      <c r="D72" s="92"/>
      <c r="E72" s="2">
        <v>1.66</v>
      </c>
      <c r="F72" s="2">
        <v>1.2</v>
      </c>
      <c r="G72" s="2">
        <v>1.67</v>
      </c>
      <c r="H72" s="93"/>
      <c r="J72" s="92"/>
      <c r="K72" s="2"/>
      <c r="L72" s="2"/>
      <c r="M72" s="2"/>
      <c r="N72" s="93"/>
      <c r="O72" s="2"/>
      <c r="Q72" s="20"/>
      <c r="R72" s="20"/>
      <c r="S72" s="20"/>
      <c r="T72" s="20"/>
      <c r="U72" s="20"/>
      <c r="V72" s="20"/>
      <c r="W72" s="20"/>
      <c r="X72" s="20"/>
      <c r="Y72" s="20"/>
      <c r="Z72" s="52"/>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row>
    <row r="73" spans="4:58" ht="15">
      <c r="D73" s="92"/>
      <c r="E73" s="2">
        <v>2</v>
      </c>
      <c r="F73" s="2">
        <v>1.4</v>
      </c>
      <c r="G73" s="2">
        <v>2</v>
      </c>
      <c r="H73" s="93"/>
      <c r="J73" s="92"/>
      <c r="K73" s="46" t="s">
        <v>72</v>
      </c>
      <c r="L73" s="46" t="s">
        <v>86</v>
      </c>
      <c r="M73" s="104" t="s">
        <v>73</v>
      </c>
      <c r="N73" s="93"/>
      <c r="O73" s="2"/>
      <c r="Q73" s="20"/>
      <c r="R73" s="20"/>
      <c r="S73" s="20"/>
      <c r="T73" s="20"/>
      <c r="U73" s="20"/>
      <c r="V73" s="20"/>
      <c r="W73" s="20"/>
      <c r="X73" s="20"/>
      <c r="Y73" s="20"/>
      <c r="Z73" s="20"/>
      <c r="AA73" s="53"/>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row>
    <row r="74" spans="4:58" ht="15">
      <c r="D74" s="92"/>
      <c r="E74" s="2">
        <v>2.33</v>
      </c>
      <c r="F74" s="2">
        <v>1.6</v>
      </c>
      <c r="G74" s="2">
        <v>2.33</v>
      </c>
      <c r="H74" s="93"/>
      <c r="J74" s="92"/>
      <c r="K74" s="2">
        <v>0.1</v>
      </c>
      <c r="L74" s="107">
        <v>0.25</v>
      </c>
      <c r="M74" s="2">
        <v>1</v>
      </c>
      <c r="N74" s="93"/>
      <c r="O74" s="2"/>
      <c r="Q74" s="20"/>
      <c r="R74" s="20"/>
      <c r="S74" s="20"/>
      <c r="T74" s="20"/>
      <c r="U74" s="20"/>
      <c r="V74" s="20"/>
      <c r="W74" s="20"/>
      <c r="X74" s="20"/>
      <c r="Y74" s="20"/>
      <c r="Z74" s="20"/>
      <c r="AA74" s="53"/>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row>
    <row r="75" spans="4:58" ht="15">
      <c r="D75" s="92"/>
      <c r="E75" s="2">
        <v>2.5</v>
      </c>
      <c r="F75" s="2">
        <v>1.7</v>
      </c>
      <c r="G75" s="2">
        <v>2.5</v>
      </c>
      <c r="H75" s="93"/>
      <c r="J75" s="92"/>
      <c r="K75" s="2">
        <v>0.25</v>
      </c>
      <c r="L75" s="2">
        <v>0.4</v>
      </c>
      <c r="M75" s="2">
        <v>1.06</v>
      </c>
      <c r="N75" s="93"/>
      <c r="O75" s="2"/>
      <c r="Q75" s="20"/>
      <c r="R75" s="20"/>
      <c r="S75" s="20"/>
      <c r="T75" s="20"/>
      <c r="U75" s="20"/>
      <c r="V75" s="20"/>
      <c r="W75" s="20"/>
      <c r="X75" s="20"/>
      <c r="Y75" s="20"/>
      <c r="Z75" s="19"/>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row>
    <row r="76" spans="4:58" ht="15">
      <c r="D76" s="92"/>
      <c r="E76" s="2">
        <v>2.66</v>
      </c>
      <c r="F76" s="2">
        <v>1.8</v>
      </c>
      <c r="G76" s="2">
        <v>2.67</v>
      </c>
      <c r="H76" s="93"/>
      <c r="J76" s="92"/>
      <c r="K76" s="2">
        <v>0.4</v>
      </c>
      <c r="L76" s="2">
        <v>0.63</v>
      </c>
      <c r="M76" s="2">
        <v>1.12</v>
      </c>
      <c r="N76" s="93"/>
      <c r="O76" s="2"/>
      <c r="Q76" s="20"/>
      <c r="R76" s="20"/>
      <c r="S76" s="20"/>
      <c r="T76" s="20"/>
      <c r="U76" s="20"/>
      <c r="V76" s="20"/>
      <c r="W76" s="20"/>
      <c r="X76" s="20"/>
      <c r="Y76" s="20"/>
      <c r="Z76" s="20"/>
      <c r="AA76" s="53"/>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row>
    <row r="77" spans="4:58" ht="15">
      <c r="D77" s="92"/>
      <c r="E77" s="2">
        <v>3</v>
      </c>
      <c r="F77" s="2">
        <v>2</v>
      </c>
      <c r="G77" s="2">
        <v>3</v>
      </c>
      <c r="H77" s="93"/>
      <c r="J77" s="92"/>
      <c r="K77" s="2">
        <v>0.63</v>
      </c>
      <c r="L77" s="2">
        <v>1</v>
      </c>
      <c r="M77" s="2">
        <v>1.18</v>
      </c>
      <c r="N77" s="93"/>
      <c r="O77" s="2"/>
      <c r="Q77" s="20"/>
      <c r="R77" s="20"/>
      <c r="S77" s="20"/>
      <c r="T77" s="20"/>
      <c r="U77" s="20"/>
      <c r="V77" s="20"/>
      <c r="W77" s="20"/>
      <c r="X77" s="20"/>
      <c r="Y77" s="20"/>
      <c r="Z77" s="20"/>
      <c r="AA77" s="53"/>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row>
    <row r="78" spans="4:58" ht="15">
      <c r="D78" s="92"/>
      <c r="E78" s="2">
        <v>3.33</v>
      </c>
      <c r="F78" s="2">
        <v>2.2</v>
      </c>
      <c r="G78" s="2">
        <v>3.33</v>
      </c>
      <c r="H78" s="93"/>
      <c r="J78" s="92"/>
      <c r="K78" s="2">
        <v>1</v>
      </c>
      <c r="L78" s="2">
        <v>1.6</v>
      </c>
      <c r="M78" s="2">
        <v>1.25</v>
      </c>
      <c r="N78" s="93"/>
      <c r="O78" s="2"/>
      <c r="Q78" s="20"/>
      <c r="R78" s="20"/>
      <c r="S78" s="20"/>
      <c r="T78" s="20"/>
      <c r="U78" s="20"/>
      <c r="V78" s="20"/>
      <c r="W78" s="20"/>
      <c r="X78" s="20"/>
      <c r="Y78" s="20"/>
      <c r="Z78" s="19"/>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row>
    <row r="79" spans="4:27" ht="15">
      <c r="D79" s="92"/>
      <c r="E79" s="2">
        <v>3.5</v>
      </c>
      <c r="F79" s="2">
        <v>2.4</v>
      </c>
      <c r="G79" s="2">
        <v>3.5</v>
      </c>
      <c r="H79" s="93"/>
      <c r="J79" s="92"/>
      <c r="K79" s="2">
        <v>1.6</v>
      </c>
      <c r="L79" s="2">
        <v>2.5</v>
      </c>
      <c r="M79" s="2">
        <v>1.32</v>
      </c>
      <c r="N79" s="93"/>
      <c r="O79" s="2"/>
      <c r="AA79" s="14"/>
    </row>
    <row r="80" spans="4:15" ht="15">
      <c r="D80" s="92"/>
      <c r="E80" s="2">
        <v>3.66</v>
      </c>
      <c r="F80" s="2">
        <v>2.5</v>
      </c>
      <c r="G80" s="2">
        <v>3.67</v>
      </c>
      <c r="H80" s="93"/>
      <c r="J80" s="92"/>
      <c r="K80" s="2">
        <v>2.5</v>
      </c>
      <c r="L80" s="2">
        <v>4</v>
      </c>
      <c r="M80" s="2">
        <v>1.4</v>
      </c>
      <c r="N80" s="93"/>
      <c r="O80" s="2"/>
    </row>
    <row r="81" spans="4:15" ht="15">
      <c r="D81" s="92"/>
      <c r="E81" s="2">
        <v>4</v>
      </c>
      <c r="F81" s="2">
        <v>2.8</v>
      </c>
      <c r="G81" s="2">
        <v>4</v>
      </c>
      <c r="H81" s="93"/>
      <c r="J81" s="92"/>
      <c r="K81" s="2">
        <v>4</v>
      </c>
      <c r="L81" s="2">
        <v>6.3</v>
      </c>
      <c r="M81" s="2">
        <v>1.5</v>
      </c>
      <c r="N81" s="93"/>
      <c r="O81" s="2"/>
    </row>
    <row r="82" spans="4:15" ht="15">
      <c r="D82" s="92"/>
      <c r="E82" s="2">
        <v>4.33</v>
      </c>
      <c r="F82" s="2">
        <v>3.2</v>
      </c>
      <c r="G82" s="2">
        <v>4.33</v>
      </c>
      <c r="H82" s="93"/>
      <c r="J82" s="92"/>
      <c r="K82" s="2">
        <v>6.3</v>
      </c>
      <c r="L82" s="2">
        <v>10</v>
      </c>
      <c r="M82" s="2">
        <v>1.6</v>
      </c>
      <c r="N82" s="93"/>
      <c r="O82" s="2"/>
    </row>
    <row r="83" spans="4:15" ht="15">
      <c r="D83" s="92"/>
      <c r="E83" s="2">
        <v>4.5</v>
      </c>
      <c r="F83" s="2">
        <v>3.3</v>
      </c>
      <c r="G83" s="2">
        <v>4.5</v>
      </c>
      <c r="H83" s="93"/>
      <c r="J83" s="92"/>
      <c r="K83" s="2">
        <v>10</v>
      </c>
      <c r="L83" s="2">
        <v>16</v>
      </c>
      <c r="M83" s="2">
        <v>1.7</v>
      </c>
      <c r="N83" s="93"/>
      <c r="O83" s="2"/>
    </row>
    <row r="84" spans="4:15" ht="15">
      <c r="D84" s="92"/>
      <c r="E84" s="2">
        <v>4.66</v>
      </c>
      <c r="F84" s="2">
        <v>3.5</v>
      </c>
      <c r="G84" s="2">
        <v>4.67</v>
      </c>
      <c r="H84" s="93"/>
      <c r="J84" s="92"/>
      <c r="K84" s="6">
        <v>16</v>
      </c>
      <c r="L84" s="6">
        <v>25</v>
      </c>
      <c r="M84" s="2">
        <v>1.8</v>
      </c>
      <c r="N84" s="93"/>
      <c r="O84" s="2"/>
    </row>
    <row r="85" spans="4:15" ht="15">
      <c r="D85" s="92"/>
      <c r="E85" s="2">
        <v>5</v>
      </c>
      <c r="F85" s="2">
        <v>4</v>
      </c>
      <c r="G85" s="2">
        <v>5</v>
      </c>
      <c r="H85" s="93"/>
      <c r="J85" s="92"/>
      <c r="K85" s="6"/>
      <c r="L85" s="6"/>
      <c r="M85" s="2">
        <v>1.9</v>
      </c>
      <c r="N85" s="93"/>
      <c r="O85" s="2"/>
    </row>
    <row r="86" spans="4:15" ht="15">
      <c r="D86" s="92"/>
      <c r="E86" s="2">
        <v>5.33</v>
      </c>
      <c r="F86" s="2">
        <v>4.5</v>
      </c>
      <c r="G86" s="2">
        <v>5.33</v>
      </c>
      <c r="H86" s="93"/>
      <c r="J86" s="92"/>
      <c r="K86" s="2"/>
      <c r="L86" s="2"/>
      <c r="M86" s="2">
        <v>2</v>
      </c>
      <c r="N86" s="93"/>
      <c r="O86" s="2"/>
    </row>
    <row r="87" spans="4:27" ht="15">
      <c r="D87" s="92"/>
      <c r="E87" s="2">
        <v>5.5</v>
      </c>
      <c r="F87" s="2">
        <v>4.8</v>
      </c>
      <c r="G87" s="2">
        <v>5.5</v>
      </c>
      <c r="H87" s="93"/>
      <c r="J87" s="92"/>
      <c r="K87" s="2"/>
      <c r="L87" s="2"/>
      <c r="M87" s="2">
        <v>2.12</v>
      </c>
      <c r="N87" s="93"/>
      <c r="O87" s="2"/>
      <c r="Q87" s="2"/>
      <c r="R87" s="2"/>
      <c r="S87" s="2"/>
      <c r="T87" s="2"/>
      <c r="U87" s="2"/>
      <c r="V87" s="2"/>
      <c r="W87" s="2"/>
      <c r="X87" s="2"/>
      <c r="Y87" s="2"/>
      <c r="Z87" s="2"/>
      <c r="AA87" s="14"/>
    </row>
    <row r="88" spans="4:15" ht="15">
      <c r="D88" s="92"/>
      <c r="E88" s="2">
        <v>5.66</v>
      </c>
      <c r="F88" s="2">
        <v>5</v>
      </c>
      <c r="G88" s="2">
        <v>5.67</v>
      </c>
      <c r="H88" s="93"/>
      <c r="J88" s="92"/>
      <c r="K88" s="2"/>
      <c r="L88" s="2"/>
      <c r="M88" s="2">
        <v>2.24</v>
      </c>
      <c r="N88" s="93"/>
      <c r="O88" s="2"/>
    </row>
    <row r="89" spans="4:15" ht="15">
      <c r="D89" s="92"/>
      <c r="E89" s="2">
        <v>6</v>
      </c>
      <c r="F89" s="2">
        <v>5.6</v>
      </c>
      <c r="G89" s="2">
        <v>6</v>
      </c>
      <c r="H89" s="93"/>
      <c r="J89" s="92"/>
      <c r="K89" s="2"/>
      <c r="L89" s="2"/>
      <c r="M89" s="2">
        <v>2.36</v>
      </c>
      <c r="N89" s="93"/>
      <c r="O89" s="2"/>
    </row>
    <row r="90" spans="4:15" ht="15">
      <c r="D90" s="92"/>
      <c r="E90" s="2">
        <v>6.33</v>
      </c>
      <c r="F90" s="2">
        <v>6.3</v>
      </c>
      <c r="G90" s="2">
        <v>6.33</v>
      </c>
      <c r="H90" s="93"/>
      <c r="J90" s="92"/>
      <c r="K90" s="2"/>
      <c r="L90" s="2"/>
      <c r="M90" s="2">
        <v>2.5</v>
      </c>
      <c r="N90" s="93"/>
      <c r="O90" s="2"/>
    </row>
    <row r="91" spans="4:15" ht="15">
      <c r="D91" s="92"/>
      <c r="E91" s="2">
        <v>6.5</v>
      </c>
      <c r="F91" s="2">
        <v>6.7</v>
      </c>
      <c r="G91" s="2">
        <v>6.5</v>
      </c>
      <c r="H91" s="93"/>
      <c r="J91" s="92"/>
      <c r="K91" s="2"/>
      <c r="L91" s="2"/>
      <c r="M91" s="2">
        <v>2.65</v>
      </c>
      <c r="N91" s="93"/>
      <c r="O91" s="2"/>
    </row>
    <row r="92" spans="4:15" ht="15">
      <c r="D92" s="92"/>
      <c r="E92" s="2">
        <v>6.66</v>
      </c>
      <c r="F92" s="2">
        <v>7.1</v>
      </c>
      <c r="G92" s="2">
        <v>6.67</v>
      </c>
      <c r="H92" s="93"/>
      <c r="J92" s="92"/>
      <c r="K92" s="2"/>
      <c r="L92" s="2"/>
      <c r="M92" s="2">
        <v>2.8</v>
      </c>
      <c r="N92" s="93"/>
      <c r="O92" s="2"/>
    </row>
    <row r="93" spans="4:15" ht="15">
      <c r="D93" s="92"/>
      <c r="E93" s="2">
        <v>7</v>
      </c>
      <c r="F93" s="2">
        <v>8</v>
      </c>
      <c r="G93" s="2">
        <v>7</v>
      </c>
      <c r="H93" s="93"/>
      <c r="J93" s="92"/>
      <c r="K93" s="2"/>
      <c r="L93" s="2"/>
      <c r="M93" s="2">
        <v>3</v>
      </c>
      <c r="N93" s="93"/>
      <c r="O93" s="2"/>
    </row>
    <row r="94" spans="4:15" ht="15">
      <c r="D94" s="92"/>
      <c r="E94" s="2">
        <v>7.33</v>
      </c>
      <c r="F94" s="2">
        <v>9</v>
      </c>
      <c r="G94" s="2">
        <v>7.33</v>
      </c>
      <c r="H94" s="93"/>
      <c r="J94" s="92"/>
      <c r="K94" s="2"/>
      <c r="L94" s="2"/>
      <c r="M94" s="2">
        <v>3.15</v>
      </c>
      <c r="N94" s="93"/>
      <c r="O94" s="2"/>
    </row>
    <row r="95" spans="4:15" ht="15">
      <c r="D95" s="92"/>
      <c r="E95" s="2">
        <v>7.5</v>
      </c>
      <c r="F95" s="2">
        <v>9.5</v>
      </c>
      <c r="G95" s="2">
        <v>7.5</v>
      </c>
      <c r="H95" s="93"/>
      <c r="J95" s="92"/>
      <c r="K95" s="2"/>
      <c r="L95" s="2"/>
      <c r="M95" s="2">
        <v>3.35</v>
      </c>
      <c r="N95" s="93"/>
      <c r="O95" s="2"/>
    </row>
    <row r="96" spans="4:15" ht="15">
      <c r="D96" s="92"/>
      <c r="E96" s="2">
        <v>7.66</v>
      </c>
      <c r="F96" s="2">
        <v>10</v>
      </c>
      <c r="G96" s="2">
        <v>7.67</v>
      </c>
      <c r="H96" s="93"/>
      <c r="J96" s="92"/>
      <c r="K96" s="2"/>
      <c r="L96" s="2"/>
      <c r="M96" s="2">
        <v>3.55</v>
      </c>
      <c r="N96" s="93"/>
      <c r="O96" s="2"/>
    </row>
    <row r="97" spans="4:15" ht="15">
      <c r="D97" s="92"/>
      <c r="E97" s="2">
        <v>8</v>
      </c>
      <c r="F97" s="2">
        <v>11</v>
      </c>
      <c r="G97" s="2">
        <v>8</v>
      </c>
      <c r="H97" s="93"/>
      <c r="J97" s="92"/>
      <c r="K97" s="2"/>
      <c r="L97" s="2"/>
      <c r="M97" s="2">
        <v>3.75</v>
      </c>
      <c r="N97" s="93"/>
      <c r="O97" s="2"/>
    </row>
    <row r="98" spans="4:15" ht="15">
      <c r="D98" s="92"/>
      <c r="E98" s="2">
        <v>8.33</v>
      </c>
      <c r="F98" s="2">
        <v>13</v>
      </c>
      <c r="G98" s="2">
        <v>8.33</v>
      </c>
      <c r="H98" s="93"/>
      <c r="J98" s="92"/>
      <c r="K98" s="2"/>
      <c r="L98" s="2"/>
      <c r="M98" s="2">
        <v>4</v>
      </c>
      <c r="N98" s="93"/>
      <c r="O98" s="2"/>
    </row>
    <row r="99" spans="4:15" ht="15">
      <c r="D99" s="92"/>
      <c r="E99" s="2">
        <v>8.5</v>
      </c>
      <c r="F99" s="2">
        <v>13</v>
      </c>
      <c r="G99" s="2">
        <v>8.5</v>
      </c>
      <c r="H99" s="93"/>
      <c r="J99" s="94"/>
      <c r="K99" s="95"/>
      <c r="L99" s="95"/>
      <c r="M99" s="95"/>
      <c r="N99" s="106"/>
      <c r="O99" s="2"/>
    </row>
    <row r="100" spans="4:8" ht="15">
      <c r="D100" s="92"/>
      <c r="E100" s="2">
        <v>8.66</v>
      </c>
      <c r="F100" s="2">
        <v>14</v>
      </c>
      <c r="G100" s="2">
        <v>8.67</v>
      </c>
      <c r="H100" s="93"/>
    </row>
    <row r="101" spans="4:8" ht="15">
      <c r="D101" s="92"/>
      <c r="E101" s="2">
        <v>9</v>
      </c>
      <c r="F101" s="2">
        <v>16</v>
      </c>
      <c r="G101" s="2">
        <v>9</v>
      </c>
      <c r="H101" s="93"/>
    </row>
    <row r="102" spans="4:8" ht="15">
      <c r="D102" s="92"/>
      <c r="E102" s="2">
        <v>9.33</v>
      </c>
      <c r="F102" s="2">
        <v>18</v>
      </c>
      <c r="G102" s="2">
        <v>9.33</v>
      </c>
      <c r="H102" s="93"/>
    </row>
    <row r="103" spans="4:8" ht="15">
      <c r="D103" s="92"/>
      <c r="E103" s="2">
        <v>9.5</v>
      </c>
      <c r="F103" s="2">
        <v>19</v>
      </c>
      <c r="G103" s="2">
        <v>9.5</v>
      </c>
      <c r="H103" s="93"/>
    </row>
    <row r="104" spans="4:8" ht="15">
      <c r="D104" s="92"/>
      <c r="E104" s="2">
        <v>9.66</v>
      </c>
      <c r="F104" s="2">
        <v>20</v>
      </c>
      <c r="G104" s="2">
        <v>9.67</v>
      </c>
      <c r="H104" s="93"/>
    </row>
    <row r="105" spans="4:8" ht="15">
      <c r="D105" s="92"/>
      <c r="E105" s="2">
        <v>10</v>
      </c>
      <c r="F105" s="2">
        <v>22</v>
      </c>
      <c r="G105" s="2">
        <v>10</v>
      </c>
      <c r="H105" s="93"/>
    </row>
    <row r="106" spans="4:8" ht="15">
      <c r="D106" s="94"/>
      <c r="E106" s="95"/>
      <c r="F106" s="95"/>
      <c r="G106" s="95"/>
      <c r="H106" s="96"/>
    </row>
  </sheetData>
  <sheetProtection/>
  <mergeCells count="6">
    <mergeCell ref="J69:N69"/>
    <mergeCell ref="B34:B43"/>
    <mergeCell ref="E29:M29"/>
    <mergeCell ref="I20:K20"/>
    <mergeCell ref="H2:I2"/>
    <mergeCell ref="E60:M60"/>
  </mergeCells>
  <conditionalFormatting sqref="E34:M43">
    <cfRule type="expression" priority="6" dxfId="0">
      <formula>$D34&lt;E$11</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Lester</dc:creator>
  <cp:keywords/>
  <dc:description/>
  <cp:lastModifiedBy>Lester</cp:lastModifiedBy>
  <dcterms:created xsi:type="dcterms:W3CDTF">2018-11-18T09:27:15Z</dcterms:created>
  <dcterms:modified xsi:type="dcterms:W3CDTF">2018-12-05T10:52:43Z</dcterms:modified>
  <cp:category/>
  <cp:version/>
  <cp:contentType/>
  <cp:contentStatus/>
</cp:coreProperties>
</file>