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Gilbert Modified VBA Excel Spreadsheets\"/>
    </mc:Choice>
  </mc:AlternateContent>
  <bookViews>
    <workbookView xWindow="6480" yWindow="4545" windowWidth="6285" windowHeight="5040"/>
  </bookViews>
  <sheets>
    <sheet name="Tensions" sheetId="1" r:id="rId1"/>
    <sheet name="Tension graphs" sheetId="2" r:id="rId2"/>
    <sheet name="Heel graphs" sheetId="3" r:id="rId3"/>
    <sheet name="Sag graphs" sheetId="4" r:id="rId4"/>
    <sheet name="Twist graphs" sheetId="5" r:id="rId5"/>
    <sheet name="JS sag" sheetId="6" r:id="rId6"/>
    <sheet name="Sag draft" sheetId="7" r:id="rId7"/>
    <sheet name="Twist" sheetId="8" r:id="rId8"/>
  </sheets>
  <definedNames>
    <definedName name="_Regression_Int" localSheetId="0" hidden="1">1</definedName>
    <definedName name="AdditSag">'Sag draft'!$B$8</definedName>
    <definedName name="AppWindAngle">Tensions!$H$13</definedName>
    <definedName name="BsAngle">Tensions!$A$10</definedName>
    <definedName name="BsBase">Tensions!$A$9</definedName>
    <definedName name="BsHt">Tensions!$A$8</definedName>
    <definedName name="BsTens">Tensions!$A$11</definedName>
    <definedName name="BsTensHoriz">Tensions!$A$12</definedName>
    <definedName name="BsTensVert">Tensions!$A$13</definedName>
    <definedName name="BulbWt">Tensions!$H$19</definedName>
    <definedName name="CoefDrag">Tensions!$H$11</definedName>
    <definedName name="CoefLift">Tensions!$H$10</definedName>
    <definedName name="DefaultGap">Twist!$C$16</definedName>
    <definedName name="DefaultLift">Twist!$C$24</definedName>
    <definedName name="DefaultPivotOffset">Tensions!$J$31</definedName>
    <definedName name="DefaultTable">Tensions!$N$10:$Q$31</definedName>
    <definedName name="DefaultTwist">Twist!$C$17</definedName>
    <definedName name="DefaultWindSpeed">Tensions!$J$29</definedName>
    <definedName name="Density">Tensions!$H$9</definedName>
    <definedName name="DraftInterp">'Sag draft'!$B$13</definedName>
    <definedName name="Draught">Tensions!$H$20</definedName>
    <definedName name="ElongAdjust">'JS sag'!$B$2</definedName>
    <definedName name="EntryInterp">'Sag draft'!$G$13</definedName>
    <definedName name="EntryNominal">'Sag draft'!$G$7</definedName>
    <definedName name="FirstCutSag">'JS sag'!$B$13</definedName>
    <definedName name="HeelAngle">Tensions!$H$24</definedName>
    <definedName name="HeelGraphAppWind">'Heel graphs'!$J$7</definedName>
    <definedName name="HeelMacroHeel">Tensions!$N$40</definedName>
    <definedName name="HoundsBsHoriz">Tensions!$A$24</definedName>
    <definedName name="HoundsHt">Tensions!$A$14</definedName>
    <definedName name="HoundsShHoriz">Tensions!$A$23</definedName>
    <definedName name="JibAngle">Tensions!$A$28</definedName>
    <definedName name="JibArea">Tensions!$H$8</definedName>
    <definedName name="JibBase">Tensions!$A$27</definedName>
    <definedName name="JibBoom">Tensions!$A$25</definedName>
    <definedName name="JibContrib">Tensions!$H$22</definedName>
    <definedName name="JibContribFactor">Tensions!$H$25</definedName>
    <definedName name="JibDrag">Tensions!$H$15</definedName>
    <definedName name="JibDrive">Tensions!$H$17</definedName>
    <definedName name="JibHt">Tensions!$A$15</definedName>
    <definedName name="JibLever">'JS sag'!$B$5</definedName>
    <definedName name="JibLift">Tensions!$H$14</definedName>
    <definedName name="JibSide">Tensions!$H$16</definedName>
    <definedName name="JibTensHoriz">Tensions!$A$29</definedName>
    <definedName name="JibTensVert">Tensions!$A$30</definedName>
    <definedName name="JsLength">'JS sag'!$B$3</definedName>
    <definedName name="JsLeverage">'JS sag'!$B$10</definedName>
    <definedName name="JsSagAngle">'JS sag'!$B$18</definedName>
    <definedName name="JsSagDraft">'JS sag'!$B$20</definedName>
    <definedName name="JsSagTotal">'JS sag'!$B$14</definedName>
    <definedName name="JsSagTwist">'JS sag'!$B$21</definedName>
    <definedName name="JsStretch">'JS sag'!$B$11</definedName>
    <definedName name="JsTensStatic">Tensions!$A$31</definedName>
    <definedName name="LuffAllow">'JS sag'!$B$19</definedName>
    <definedName name="MacroPivot">Tensions!$D$40:$E$40</definedName>
    <definedName name="MacroWind">Tensions!$O$40:$P$40</definedName>
    <definedName name="MaxDraft">'Sag draft'!$B$4</definedName>
    <definedName name="MidLeechTwist">Twist!$C$37</definedName>
    <definedName name="Modulus">'JS sag'!$B$4</definedName>
    <definedName name="NominalDraft">'Sag draft'!$B$3</definedName>
    <definedName name="NominalSag">'Sag draft'!$B$7</definedName>
    <definedName name="PivotIncrem">Tensions!$A$41</definedName>
    <definedName name="PivotMacroJs">Tensions!$E$40</definedName>
    <definedName name="PivotMacroTl">Tensions!$D$40</definedName>
    <definedName name="PivotOffset">Tensions!$A$26</definedName>
    <definedName name="RevJsTens">'JS sag'!$B$15</definedName>
    <definedName name="RevTlTens">'JS sag'!$B$16</definedName>
    <definedName name="RigNumber">Tensions!$A$7</definedName>
    <definedName name="SagDistrib">'JS sag'!$B$6</definedName>
    <definedName name="SagForce">'JS sag'!$B$7</definedName>
    <definedName name="SagForceTable">'JS sag'!$J$3:$K$62</definedName>
    <definedName name="SagIncrement">'JS sag'!$E$3</definedName>
    <definedName name="SagMacroDraft">'JS sag'!$L$4</definedName>
    <definedName name="SagMacroEntry">'JS sag'!$P$4</definedName>
    <definedName name="SagMacroNominalDraft">'JS sag'!$U$4</definedName>
    <definedName name="SagMacroNominalTwist">'JS sag'!$V$4</definedName>
    <definedName name="SagMacroSag">'JS sag'!$N$4</definedName>
    <definedName name="SagMacroTwist">'JS sag'!$O$4</definedName>
    <definedName name="SagpMacroSag">'JS sag'!$R$4</definedName>
    <definedName name="SagpMacroTwist">'JS sag'!$T$4</definedName>
    <definedName name="SagStart">'JS sag'!$F$3</definedName>
    <definedName name="SagTable">'JS sag'!$F$3:$K$62</definedName>
    <definedName name="SagTableMaxSag">'JS sag'!$F$64</definedName>
    <definedName name="SagTensTable">'JS sag'!$F$3:$I$62</definedName>
    <definedName name="SailCE">Tensions!$H$21</definedName>
    <definedName name="ShAngle">Tensions!$A$18</definedName>
    <definedName name="ShBaseAngle">Tensions!$A$20</definedName>
    <definedName name="ShHt">Tensions!$A$16</definedName>
    <definedName name="ShOffset">Tensions!$A$17</definedName>
    <definedName name="ShTens">Tensions!$A$19</definedName>
    <definedName name="ShTensHoriz">Tensions!$A$21</definedName>
    <definedName name="ShTensVert">Tensions!$A$22</definedName>
    <definedName name="SinHeel">Tensions!$H$23</definedName>
    <definedName name="TlLeverForce">'JS sag'!$B$8</definedName>
    <definedName name="TlLiftTotal">'JS sag'!$B$17</definedName>
    <definedName name="TlRelDist">'JS sag'!$B$12</definedName>
    <definedName name="TlRelForce">'JS sag'!$B$9</definedName>
    <definedName name="TlTensStatic">Tensions!$A$32</definedName>
    <definedName name="TotJib">Tensions!$H$18</definedName>
    <definedName name="TotNomEntry">'JS sag'!$Y$2</definedName>
    <definedName name="TotTensVertStatic">Tensions!$A$33</definedName>
    <definedName name="TotWindEntry">'JS sag'!$Y$3</definedName>
    <definedName name="WindIncrem">Tensions!$L$41</definedName>
    <definedName name="WindMacroJs">Tensions!$P$40</definedName>
    <definedName name="WindMacroTl">Tensions!$O$40</definedName>
    <definedName name="WindSpeed">Tensions!$H$12</definedName>
  </definedNames>
  <calcPr calcId="0"/>
</workbook>
</file>

<file path=xl/calcChain.xml><?xml version="1.0" encoding="utf-8"?>
<calcChain xmlns="http://schemas.openxmlformats.org/spreadsheetml/2006/main">
  <c r="Y2" i="6" l="1"/>
  <c r="B3" i="6"/>
  <c r="G3" i="6"/>
  <c r="H3" i="6"/>
  <c r="I3" i="6"/>
  <c r="J3" i="6"/>
  <c r="K3" i="6"/>
  <c r="Y3" i="6"/>
  <c r="B4" i="6"/>
  <c r="F4" i="6"/>
  <c r="G4" i="6"/>
  <c r="H4" i="6"/>
  <c r="I4" i="6"/>
  <c r="J4" i="6"/>
  <c r="K4" i="6"/>
  <c r="L4" i="6"/>
  <c r="N4" i="6"/>
  <c r="O4" i="6"/>
  <c r="P4" i="6"/>
  <c r="R4" i="6"/>
  <c r="T4" i="6"/>
  <c r="U4" i="6"/>
  <c r="V4" i="6"/>
  <c r="W4" i="6"/>
  <c r="X4" i="6"/>
  <c r="F5" i="6"/>
  <c r="G5" i="6"/>
  <c r="H5" i="6"/>
  <c r="I5" i="6"/>
  <c r="J5" i="6"/>
  <c r="K5" i="6"/>
  <c r="M5" i="6"/>
  <c r="Q5" i="6"/>
  <c r="U5" i="6"/>
  <c r="V5" i="6"/>
  <c r="W5" i="6"/>
  <c r="X5" i="6"/>
  <c r="B6" i="6"/>
  <c r="F6" i="6"/>
  <c r="G6" i="6"/>
  <c r="H6" i="6"/>
  <c r="I6" i="6"/>
  <c r="J6" i="6"/>
  <c r="K6" i="6"/>
  <c r="M6" i="6"/>
  <c r="Q6" i="6"/>
  <c r="U6" i="6"/>
  <c r="V6" i="6"/>
  <c r="W6" i="6"/>
  <c r="X6" i="6"/>
  <c r="B7" i="6"/>
  <c r="F7" i="6"/>
  <c r="G7" i="6"/>
  <c r="H7" i="6"/>
  <c r="I7" i="6"/>
  <c r="J7" i="6"/>
  <c r="K7" i="6"/>
  <c r="M7" i="6"/>
  <c r="Q7" i="6"/>
  <c r="U7" i="6"/>
  <c r="V7" i="6"/>
  <c r="W7" i="6"/>
  <c r="X7" i="6"/>
  <c r="B8" i="6"/>
  <c r="F8" i="6"/>
  <c r="G8" i="6"/>
  <c r="H8" i="6"/>
  <c r="I8" i="6"/>
  <c r="J8" i="6"/>
  <c r="K8" i="6"/>
  <c r="M8" i="6"/>
  <c r="Q8" i="6"/>
  <c r="U8" i="6"/>
  <c r="V8" i="6"/>
  <c r="W8" i="6"/>
  <c r="X8" i="6"/>
  <c r="B9" i="6"/>
  <c r="F9" i="6"/>
  <c r="G9" i="6"/>
  <c r="H9" i="6"/>
  <c r="I9" i="6"/>
  <c r="J9" i="6"/>
  <c r="K9" i="6"/>
  <c r="M9" i="6"/>
  <c r="Q9" i="6"/>
  <c r="U9" i="6"/>
  <c r="V9" i="6"/>
  <c r="W9" i="6"/>
  <c r="X9" i="6"/>
  <c r="B10" i="6"/>
  <c r="F10" i="6"/>
  <c r="G10" i="6"/>
  <c r="H10" i="6"/>
  <c r="I10" i="6"/>
  <c r="J10" i="6"/>
  <c r="K10" i="6"/>
  <c r="M10" i="6"/>
  <c r="Q10" i="6"/>
  <c r="U10" i="6"/>
  <c r="V10" i="6"/>
  <c r="W10" i="6"/>
  <c r="X10" i="6"/>
  <c r="B11" i="6"/>
  <c r="F11" i="6"/>
  <c r="G11" i="6"/>
  <c r="H11" i="6"/>
  <c r="I11" i="6"/>
  <c r="J11" i="6"/>
  <c r="K11" i="6"/>
  <c r="M11" i="6"/>
  <c r="Q11" i="6"/>
  <c r="U11" i="6"/>
  <c r="V11" i="6"/>
  <c r="W11" i="6"/>
  <c r="X11" i="6"/>
  <c r="B12" i="6"/>
  <c r="F12" i="6"/>
  <c r="G12" i="6"/>
  <c r="H12" i="6"/>
  <c r="I12" i="6"/>
  <c r="J12" i="6"/>
  <c r="K12" i="6"/>
  <c r="M12" i="6"/>
  <c r="Q12" i="6"/>
  <c r="U12" i="6"/>
  <c r="V12" i="6"/>
  <c r="W12" i="6"/>
  <c r="X12" i="6"/>
  <c r="B13" i="6"/>
  <c r="F13" i="6"/>
  <c r="G13" i="6"/>
  <c r="H13" i="6"/>
  <c r="I13" i="6"/>
  <c r="J13" i="6"/>
  <c r="K13" i="6"/>
  <c r="M13" i="6"/>
  <c r="Q13" i="6"/>
  <c r="U13" i="6"/>
  <c r="V13" i="6"/>
  <c r="W13" i="6"/>
  <c r="X13" i="6"/>
  <c r="B14" i="6"/>
  <c r="F14" i="6"/>
  <c r="G14" i="6"/>
  <c r="H14" i="6"/>
  <c r="I14" i="6"/>
  <c r="J14" i="6"/>
  <c r="K14" i="6"/>
  <c r="M14" i="6"/>
  <c r="Q14" i="6"/>
  <c r="U14" i="6"/>
  <c r="V14" i="6"/>
  <c r="W14" i="6"/>
  <c r="X14" i="6"/>
  <c r="B15" i="6"/>
  <c r="F15" i="6"/>
  <c r="G15" i="6"/>
  <c r="H15" i="6"/>
  <c r="I15" i="6"/>
  <c r="J15" i="6"/>
  <c r="K15" i="6"/>
  <c r="M15" i="6"/>
  <c r="Q15" i="6"/>
  <c r="U15" i="6"/>
  <c r="V15" i="6"/>
  <c r="W15" i="6"/>
  <c r="X15" i="6"/>
  <c r="B16" i="6"/>
  <c r="F16" i="6"/>
  <c r="G16" i="6"/>
  <c r="H16" i="6"/>
  <c r="I16" i="6"/>
  <c r="J16" i="6"/>
  <c r="K16" i="6"/>
  <c r="M16" i="6"/>
  <c r="Q16" i="6"/>
  <c r="U16" i="6"/>
  <c r="V16" i="6"/>
  <c r="W16" i="6"/>
  <c r="X16" i="6"/>
  <c r="B17" i="6"/>
  <c r="F17" i="6"/>
  <c r="G17" i="6"/>
  <c r="H17" i="6"/>
  <c r="I17" i="6"/>
  <c r="J17" i="6"/>
  <c r="K17" i="6"/>
  <c r="M17" i="6"/>
  <c r="Q17" i="6"/>
  <c r="U17" i="6"/>
  <c r="V17" i="6"/>
  <c r="W17" i="6"/>
  <c r="X17" i="6"/>
  <c r="F18" i="6"/>
  <c r="G18" i="6"/>
  <c r="H18" i="6"/>
  <c r="I18" i="6"/>
  <c r="J18" i="6"/>
  <c r="K18" i="6"/>
  <c r="M18" i="6"/>
  <c r="Q18" i="6"/>
  <c r="U18" i="6"/>
  <c r="V18" i="6"/>
  <c r="W18" i="6"/>
  <c r="X18" i="6"/>
  <c r="B19" i="6"/>
  <c r="F19" i="6"/>
  <c r="G19" i="6"/>
  <c r="H19" i="6"/>
  <c r="I19" i="6"/>
  <c r="J19" i="6"/>
  <c r="K19" i="6"/>
  <c r="M19" i="6"/>
  <c r="Q19" i="6"/>
  <c r="U19" i="6"/>
  <c r="V19" i="6"/>
  <c r="W19" i="6"/>
  <c r="X19" i="6"/>
  <c r="B20" i="6"/>
  <c r="F20" i="6"/>
  <c r="G20" i="6"/>
  <c r="H20" i="6"/>
  <c r="I20" i="6"/>
  <c r="J20" i="6"/>
  <c r="K20" i="6"/>
  <c r="M20" i="6"/>
  <c r="Q20" i="6"/>
  <c r="U20" i="6"/>
  <c r="V20" i="6"/>
  <c r="W20" i="6"/>
  <c r="X20" i="6"/>
  <c r="B21" i="6"/>
  <c r="F21" i="6"/>
  <c r="G21" i="6"/>
  <c r="H21" i="6"/>
  <c r="I21" i="6"/>
  <c r="J21" i="6"/>
  <c r="K21" i="6"/>
  <c r="M21" i="6"/>
  <c r="U21" i="6"/>
  <c r="V21" i="6"/>
  <c r="W21" i="6"/>
  <c r="X21" i="6"/>
  <c r="B22" i="6"/>
  <c r="F22" i="6"/>
  <c r="G22" i="6"/>
  <c r="H22" i="6"/>
  <c r="I22" i="6"/>
  <c r="J22" i="6"/>
  <c r="K22" i="6"/>
  <c r="M22" i="6"/>
  <c r="U22" i="6"/>
  <c r="V22" i="6"/>
  <c r="W22" i="6"/>
  <c r="X22" i="6"/>
  <c r="F23" i="6"/>
  <c r="G23" i="6"/>
  <c r="H23" i="6"/>
  <c r="I23" i="6"/>
  <c r="J23" i="6"/>
  <c r="K23" i="6"/>
  <c r="M23" i="6"/>
  <c r="U23" i="6"/>
  <c r="V23" i="6"/>
  <c r="W23" i="6"/>
  <c r="X23" i="6"/>
  <c r="F24" i="6"/>
  <c r="G24" i="6"/>
  <c r="H24" i="6"/>
  <c r="I24" i="6"/>
  <c r="J24" i="6"/>
  <c r="K24" i="6"/>
  <c r="M24" i="6"/>
  <c r="U24" i="6"/>
  <c r="V24" i="6"/>
  <c r="W24" i="6"/>
  <c r="X24" i="6"/>
  <c r="F25" i="6"/>
  <c r="G25" i="6"/>
  <c r="H25" i="6"/>
  <c r="I25" i="6"/>
  <c r="J25" i="6"/>
  <c r="K25" i="6"/>
  <c r="F26" i="6"/>
  <c r="G26" i="6"/>
  <c r="H26" i="6"/>
  <c r="I26" i="6"/>
  <c r="J26" i="6"/>
  <c r="K26" i="6"/>
  <c r="F27" i="6"/>
  <c r="G27" i="6"/>
  <c r="H27" i="6"/>
  <c r="I27" i="6"/>
  <c r="J27" i="6"/>
  <c r="K27" i="6"/>
  <c r="F28" i="6"/>
  <c r="G28" i="6"/>
  <c r="H28" i="6"/>
  <c r="I28" i="6"/>
  <c r="J28" i="6"/>
  <c r="K28" i="6"/>
  <c r="B29" i="6"/>
  <c r="F29" i="6"/>
  <c r="G29" i="6"/>
  <c r="H29" i="6"/>
  <c r="I29" i="6"/>
  <c r="J29" i="6"/>
  <c r="K29" i="6"/>
  <c r="F30" i="6"/>
  <c r="G30" i="6"/>
  <c r="H30" i="6"/>
  <c r="I30" i="6"/>
  <c r="J30" i="6"/>
  <c r="K30" i="6"/>
  <c r="F31" i="6"/>
  <c r="G31" i="6"/>
  <c r="H31" i="6"/>
  <c r="I31" i="6"/>
  <c r="J31" i="6"/>
  <c r="K31" i="6"/>
  <c r="F32" i="6"/>
  <c r="G32" i="6"/>
  <c r="H32" i="6"/>
  <c r="I32" i="6"/>
  <c r="J32" i="6"/>
  <c r="K32" i="6"/>
  <c r="B33" i="6"/>
  <c r="F33" i="6"/>
  <c r="G33" i="6"/>
  <c r="H33" i="6"/>
  <c r="I33" i="6"/>
  <c r="J33" i="6"/>
  <c r="K33" i="6"/>
  <c r="F34" i="6"/>
  <c r="G34" i="6"/>
  <c r="H34" i="6"/>
  <c r="I34" i="6"/>
  <c r="J34" i="6"/>
  <c r="K34" i="6"/>
  <c r="F35" i="6"/>
  <c r="G35" i="6"/>
  <c r="H35" i="6"/>
  <c r="I35" i="6"/>
  <c r="J35" i="6"/>
  <c r="K35" i="6"/>
  <c r="F36" i="6"/>
  <c r="G36" i="6"/>
  <c r="H36" i="6"/>
  <c r="I36" i="6"/>
  <c r="J36" i="6"/>
  <c r="K36" i="6"/>
  <c r="B37" i="6"/>
  <c r="F37" i="6"/>
  <c r="G37" i="6"/>
  <c r="H37" i="6"/>
  <c r="I37" i="6"/>
  <c r="J37" i="6"/>
  <c r="K37" i="6"/>
  <c r="F38" i="6"/>
  <c r="G38" i="6"/>
  <c r="H38" i="6"/>
  <c r="I38" i="6"/>
  <c r="J38" i="6"/>
  <c r="K38" i="6"/>
  <c r="F39" i="6"/>
  <c r="G39" i="6"/>
  <c r="H39" i="6"/>
  <c r="I39" i="6"/>
  <c r="J39" i="6"/>
  <c r="K39" i="6"/>
  <c r="F40" i="6"/>
  <c r="G40" i="6"/>
  <c r="H40" i="6"/>
  <c r="I40" i="6"/>
  <c r="J40" i="6"/>
  <c r="K40" i="6"/>
  <c r="F41" i="6"/>
  <c r="G41" i="6"/>
  <c r="H41" i="6"/>
  <c r="I41" i="6"/>
  <c r="J41" i="6"/>
  <c r="K41" i="6"/>
  <c r="F42" i="6"/>
  <c r="G42" i="6"/>
  <c r="H42" i="6"/>
  <c r="I42" i="6"/>
  <c r="J42" i="6"/>
  <c r="K42" i="6"/>
  <c r="F43" i="6"/>
  <c r="G43" i="6"/>
  <c r="H43" i="6"/>
  <c r="I43" i="6"/>
  <c r="J43" i="6"/>
  <c r="K43" i="6"/>
  <c r="F44" i="6"/>
  <c r="G44" i="6"/>
  <c r="H44" i="6"/>
  <c r="I44" i="6"/>
  <c r="J44" i="6"/>
  <c r="K44" i="6"/>
  <c r="F45" i="6"/>
  <c r="G45" i="6"/>
  <c r="H45" i="6"/>
  <c r="I45" i="6"/>
  <c r="J45" i="6"/>
  <c r="K45" i="6"/>
  <c r="F46" i="6"/>
  <c r="G46" i="6"/>
  <c r="H46" i="6"/>
  <c r="I46" i="6"/>
  <c r="J46" i="6"/>
  <c r="K46" i="6"/>
  <c r="F47" i="6"/>
  <c r="G47" i="6"/>
  <c r="H47" i="6"/>
  <c r="I47" i="6"/>
  <c r="J47" i="6"/>
  <c r="K47" i="6"/>
  <c r="F48" i="6"/>
  <c r="G48" i="6"/>
  <c r="H48" i="6"/>
  <c r="I48" i="6"/>
  <c r="J48" i="6"/>
  <c r="K48" i="6"/>
  <c r="F49" i="6"/>
  <c r="G49" i="6"/>
  <c r="H49" i="6"/>
  <c r="I49" i="6"/>
  <c r="J49" i="6"/>
  <c r="K49" i="6"/>
  <c r="F50" i="6"/>
  <c r="G50" i="6"/>
  <c r="H50" i="6"/>
  <c r="I50" i="6"/>
  <c r="J50" i="6"/>
  <c r="K50" i="6"/>
  <c r="F51" i="6"/>
  <c r="G51" i="6"/>
  <c r="H51" i="6"/>
  <c r="I51" i="6"/>
  <c r="J51" i="6"/>
  <c r="K51" i="6"/>
  <c r="F52" i="6"/>
  <c r="G52" i="6"/>
  <c r="H52" i="6"/>
  <c r="I52" i="6"/>
  <c r="J52" i="6"/>
  <c r="K52" i="6"/>
  <c r="F53" i="6"/>
  <c r="G53" i="6"/>
  <c r="H53" i="6"/>
  <c r="I53" i="6"/>
  <c r="J53" i="6"/>
  <c r="K53" i="6"/>
  <c r="F54" i="6"/>
  <c r="G54" i="6"/>
  <c r="H54" i="6"/>
  <c r="I54" i="6"/>
  <c r="J54" i="6"/>
  <c r="K54" i="6"/>
  <c r="F55" i="6"/>
  <c r="G55" i="6"/>
  <c r="H55" i="6"/>
  <c r="I55" i="6"/>
  <c r="J55" i="6"/>
  <c r="K55" i="6"/>
  <c r="F56" i="6"/>
  <c r="G56" i="6"/>
  <c r="H56" i="6"/>
  <c r="I56" i="6"/>
  <c r="J56" i="6"/>
  <c r="K56" i="6"/>
  <c r="F57" i="6"/>
  <c r="G57" i="6"/>
  <c r="H57" i="6"/>
  <c r="I57" i="6"/>
  <c r="J57" i="6"/>
  <c r="K57" i="6"/>
  <c r="F58" i="6"/>
  <c r="G58" i="6"/>
  <c r="H58" i="6"/>
  <c r="I58" i="6"/>
  <c r="J58" i="6"/>
  <c r="K58" i="6"/>
  <c r="F59" i="6"/>
  <c r="G59" i="6"/>
  <c r="H59" i="6"/>
  <c r="I59" i="6"/>
  <c r="J59" i="6"/>
  <c r="K59" i="6"/>
  <c r="F60" i="6"/>
  <c r="G60" i="6"/>
  <c r="H60" i="6"/>
  <c r="I60" i="6"/>
  <c r="J60" i="6"/>
  <c r="K60" i="6"/>
  <c r="F61" i="6"/>
  <c r="G61" i="6"/>
  <c r="H61" i="6"/>
  <c r="I61" i="6"/>
  <c r="J61" i="6"/>
  <c r="K61" i="6"/>
  <c r="F62" i="6"/>
  <c r="G62" i="6"/>
  <c r="H62" i="6"/>
  <c r="I62" i="6"/>
  <c r="J62" i="6"/>
  <c r="K62" i="6"/>
  <c r="F64" i="6"/>
  <c r="B3" i="7"/>
  <c r="B4" i="7"/>
  <c r="G4" i="7"/>
  <c r="K4" i="7"/>
  <c r="B5" i="7"/>
  <c r="C5" i="7"/>
  <c r="G5" i="7"/>
  <c r="K5" i="7"/>
  <c r="B6" i="7"/>
  <c r="C6" i="7"/>
  <c r="G6" i="7"/>
  <c r="K6" i="7"/>
  <c r="B7" i="7"/>
  <c r="C7" i="7"/>
  <c r="G7" i="7"/>
  <c r="K7" i="7"/>
  <c r="B8" i="7"/>
  <c r="B9" i="7"/>
  <c r="B10" i="7"/>
  <c r="C10" i="7"/>
  <c r="G10" i="7"/>
  <c r="K10" i="7"/>
  <c r="B11" i="7"/>
  <c r="G11" i="7"/>
  <c r="K11" i="7"/>
  <c r="B12" i="7"/>
  <c r="G12" i="7"/>
  <c r="K12" i="7"/>
  <c r="B13" i="7"/>
  <c r="G13" i="7"/>
  <c r="K13" i="7"/>
  <c r="B16" i="7"/>
  <c r="B17" i="7"/>
  <c r="P17" i="7"/>
  <c r="K18" i="7"/>
  <c r="Y18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B48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B49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B55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B56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B57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AB57" i="7"/>
  <c r="AC57" i="7"/>
  <c r="B58" i="7"/>
  <c r="C58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B59" i="7"/>
  <c r="C59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AB59" i="7"/>
  <c r="AC59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AB60" i="7"/>
  <c r="AC60" i="7"/>
  <c r="B61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AA61" i="7"/>
  <c r="AB61" i="7"/>
  <c r="AC61" i="7"/>
  <c r="B62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B63" i="7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B64" i="7"/>
  <c r="C64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AB64" i="7"/>
  <c r="AC64" i="7"/>
  <c r="B65" i="7"/>
  <c r="C65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B66" i="7"/>
  <c r="C66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  <c r="Y66" i="7"/>
  <c r="Z66" i="7"/>
  <c r="AA66" i="7"/>
  <c r="AB66" i="7"/>
  <c r="AC66" i="7"/>
  <c r="B67" i="7"/>
  <c r="C67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B68" i="7"/>
  <c r="C68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AB68" i="7"/>
  <c r="AC68" i="7"/>
  <c r="J6" i="4"/>
  <c r="J7" i="4"/>
  <c r="J8" i="4"/>
  <c r="J9" i="4"/>
  <c r="J30" i="4"/>
  <c r="J31" i="4"/>
  <c r="J32" i="4"/>
  <c r="J33" i="4"/>
  <c r="J6" i="2"/>
  <c r="J7" i="2"/>
  <c r="J8" i="2"/>
  <c r="J9" i="2"/>
  <c r="J29" i="2"/>
  <c r="J30" i="2"/>
  <c r="J31" i="2"/>
  <c r="J32" i="2"/>
  <c r="H7" i="1"/>
  <c r="A8" i="1"/>
  <c r="H8" i="1"/>
  <c r="H9" i="1"/>
  <c r="A10" i="1"/>
  <c r="A12" i="1"/>
  <c r="A13" i="1"/>
  <c r="A14" i="1"/>
  <c r="H14" i="1"/>
  <c r="A15" i="1"/>
  <c r="H15" i="1"/>
  <c r="O15" i="1"/>
  <c r="P15" i="1"/>
  <c r="Q15" i="1"/>
  <c r="A16" i="1"/>
  <c r="H16" i="1"/>
  <c r="H17" i="1"/>
  <c r="A18" i="1"/>
  <c r="H18" i="1"/>
  <c r="A20" i="1"/>
  <c r="A21" i="1"/>
  <c r="H21" i="1"/>
  <c r="A22" i="1"/>
  <c r="H22" i="1"/>
  <c r="O22" i="1"/>
  <c r="P22" i="1"/>
  <c r="Q22" i="1"/>
  <c r="A23" i="1"/>
  <c r="H23" i="1"/>
  <c r="O23" i="1"/>
  <c r="P23" i="1"/>
  <c r="Q23" i="1"/>
  <c r="A24" i="1"/>
  <c r="H24" i="1"/>
  <c r="O24" i="1"/>
  <c r="P24" i="1"/>
  <c r="Q24" i="1"/>
  <c r="A25" i="1"/>
  <c r="A27" i="1"/>
  <c r="A28" i="1"/>
  <c r="A29" i="1"/>
  <c r="J29" i="1"/>
  <c r="A30" i="1"/>
  <c r="A31" i="1"/>
  <c r="J31" i="1"/>
  <c r="A32" i="1"/>
  <c r="A33" i="1"/>
  <c r="J33" i="1"/>
  <c r="D40" i="1"/>
  <c r="E40" i="1"/>
  <c r="M40" i="1"/>
  <c r="N40" i="1"/>
  <c r="O40" i="1"/>
  <c r="P40" i="1"/>
  <c r="B41" i="1"/>
  <c r="M41" i="1"/>
  <c r="B42" i="1"/>
  <c r="M42" i="1"/>
  <c r="B43" i="1"/>
  <c r="M43" i="1"/>
  <c r="B44" i="1"/>
  <c r="M44" i="1"/>
  <c r="B45" i="1"/>
  <c r="M45" i="1"/>
  <c r="B46" i="1"/>
  <c r="M46" i="1"/>
  <c r="B47" i="1"/>
  <c r="M47" i="1"/>
  <c r="B48" i="1"/>
  <c r="M48" i="1"/>
  <c r="B49" i="1"/>
  <c r="M49" i="1"/>
  <c r="B50" i="1"/>
  <c r="M50" i="1"/>
  <c r="B51" i="1"/>
  <c r="M51" i="1"/>
  <c r="B52" i="1"/>
  <c r="M52" i="1"/>
  <c r="B53" i="1"/>
  <c r="M53" i="1"/>
  <c r="B54" i="1"/>
  <c r="M54" i="1"/>
  <c r="B55" i="1"/>
  <c r="M55" i="1"/>
  <c r="B56" i="1"/>
  <c r="M56" i="1"/>
  <c r="M57" i="1"/>
  <c r="M58" i="1"/>
  <c r="M59" i="1"/>
  <c r="M60" i="1"/>
  <c r="C3" i="8"/>
  <c r="G3" i="8"/>
  <c r="C4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C16" i="8"/>
  <c r="C17" i="8"/>
  <c r="C18" i="8"/>
  <c r="C19" i="8"/>
  <c r="C20" i="8"/>
  <c r="C21" i="8"/>
  <c r="C22" i="8"/>
  <c r="C23" i="8"/>
  <c r="C24" i="8"/>
  <c r="G25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C32" i="8"/>
  <c r="C33" i="8"/>
  <c r="C34" i="8"/>
  <c r="C35" i="8"/>
  <c r="C36" i="8"/>
  <c r="C37" i="8"/>
  <c r="J8" i="5"/>
  <c r="J9" i="5"/>
  <c r="J10" i="5"/>
  <c r="J11" i="5"/>
  <c r="J12" i="5"/>
  <c r="J33" i="5"/>
  <c r="J34" i="5"/>
  <c r="J35" i="5"/>
  <c r="J36" i="5"/>
</calcChain>
</file>

<file path=xl/sharedStrings.xml><?xml version="1.0" encoding="utf-8"?>
<sst xmlns="http://schemas.openxmlformats.org/spreadsheetml/2006/main" count="347" uniqueCount="208">
  <si>
    <t>Jibstay &amp; Topping lift tension calculator</t>
  </si>
  <si>
    <t>ABBREVIATIONS</t>
  </si>
  <si>
    <t>Set basic rig dimensions into beige cells.  These are relatively constant.</t>
  </si>
  <si>
    <t>BS</t>
  </si>
  <si>
    <t>Backstay</t>
  </si>
  <si>
    <t>Set tensions into yellow cells, along with shroud location and pivot offset.</t>
  </si>
  <si>
    <t>JS</t>
  </si>
  <si>
    <t>Jibstay</t>
  </si>
  <si>
    <t>Read resulting jibstay and topping lift tensions in green cells.</t>
  </si>
  <si>
    <t>TL</t>
  </si>
  <si>
    <t>Topping lift</t>
  </si>
  <si>
    <t>Sh</t>
  </si>
  <si>
    <t>Shrouds</t>
  </si>
  <si>
    <t>1=A, 2=B, 3=C</t>
  </si>
  <si>
    <t>deg</t>
  </si>
  <si>
    <t>Max main boom</t>
  </si>
  <si>
    <t>mm</t>
  </si>
  <si>
    <t>Mast height, top to deck</t>
  </si>
  <si>
    <t>sq.ft</t>
  </si>
  <si>
    <t>Jib area</t>
  </si>
  <si>
    <t>Default settings by rig</t>
  </si>
  <si>
    <t>Mast step to transom</t>
  </si>
  <si>
    <t>Density</t>
  </si>
  <si>
    <t>Rig number</t>
  </si>
  <si>
    <t>Backstay angle wrt mast</t>
  </si>
  <si>
    <t>Coef lift</t>
  </si>
  <si>
    <t>lb</t>
  </si>
  <si>
    <t>Backstay tension</t>
  </si>
  <si>
    <t>Coef drag</t>
  </si>
  <si>
    <t>BS ht</t>
  </si>
  <si>
    <t>Horizontal component</t>
  </si>
  <si>
    <t>ft/s</t>
  </si>
  <si>
    <t>Wind speed</t>
  </si>
  <si>
    <t>Hounds</t>
  </si>
  <si>
    <t>Vertical component</t>
  </si>
  <si>
    <t>Apparent wind</t>
  </si>
  <si>
    <t>Shrouds ht</t>
  </si>
  <si>
    <t>JS point to top of mast</t>
  </si>
  <si>
    <t>Jib lift</t>
  </si>
  <si>
    <t>Jib boom</t>
  </si>
  <si>
    <t>Deck to JS point</t>
  </si>
  <si>
    <t>Jib drag</t>
  </si>
  <si>
    <t>Deck to shroud point</t>
  </si>
  <si>
    <t>Jib side force</t>
  </si>
  <si>
    <t>Sail CE</t>
  </si>
  <si>
    <t>ft</t>
  </si>
  <si>
    <t>Chainplate offset</t>
  </si>
  <si>
    <t>Jib drive force</t>
  </si>
  <si>
    <t>JS length</t>
  </si>
  <si>
    <t>Shroud angle wrt mast</t>
  </si>
  <si>
    <t>Tot jib force</t>
  </si>
  <si>
    <t>Wind start</t>
  </si>
  <si>
    <t>Shroud tension, each</t>
  </si>
  <si>
    <t>Bulb wt</t>
  </si>
  <si>
    <t>Pivot start</t>
  </si>
  <si>
    <t>Shroud base angle</t>
  </si>
  <si>
    <t>Draught</t>
  </si>
  <si>
    <t>Default pivot</t>
  </si>
  <si>
    <t>Shroud horiz component</t>
  </si>
  <si>
    <t>Sail CE height</t>
  </si>
  <si>
    <t>Default wind</t>
  </si>
  <si>
    <t>Shroud vert component</t>
  </si>
  <si>
    <t>Jib contribution</t>
  </si>
  <si>
    <t>Main area</t>
  </si>
  <si>
    <t>Shroud horiz at JS</t>
  </si>
  <si>
    <t>sin(heel)</t>
  </si>
  <si>
    <t>Jib ratio</t>
  </si>
  <si>
    <t>BS horiz at JS</t>
  </si>
  <si>
    <t>Estimated heel</t>
  </si>
  <si>
    <t>Jib contrib</t>
  </si>
  <si>
    <t>Jib tack to TL point</t>
  </si>
  <si>
    <t>Jib contrib factor</t>
  </si>
  <si>
    <t>Modulus</t>
  </si>
  <si>
    <t>Pivot offset</t>
  </si>
  <si>
    <t>Jib leech</t>
  </si>
  <si>
    <t>Jib forces triangle base</t>
  </si>
  <si>
    <t>Mid-leech gap</t>
  </si>
  <si>
    <t>Jib tension angle</t>
  </si>
  <si>
    <t>Tensions vs pivot offset</t>
  </si>
  <si>
    <t>Jib draft</t>
  </si>
  <si>
    <t>Jib force from BS &amp; Sh horiz</t>
  </si>
  <si>
    <t>default wind speed</t>
  </si>
  <si>
    <t>Jib luff allowance</t>
  </si>
  <si>
    <t>Vert jib force</t>
  </si>
  <si>
    <t>Tensions vs wind speed</t>
  </si>
  <si>
    <t>Beam</t>
  </si>
  <si>
    <t>JS share of jib forces</t>
  </si>
  <si>
    <t>default pivot offset</t>
  </si>
  <si>
    <t>Max draft posn</t>
  </si>
  <si>
    <t>TL share of jib force</t>
  </si>
  <si>
    <t>Heel graph</t>
  </si>
  <si>
    <t>Draw all graphs</t>
  </si>
  <si>
    <t>Mast compression</t>
  </si>
  <si>
    <t>(Recommended)</t>
  </si>
  <si>
    <t>(These tensions are static values)</t>
  </si>
  <si>
    <t>Working area for "Pivot" macro</t>
  </si>
  <si>
    <t>Working area for "Wind" &amp; "Heel" macro</t>
  </si>
  <si>
    <t>Wind</t>
  </si>
  <si>
    <t>Heel</t>
  </si>
  <si>
    <t>Pivot increment</t>
  </si>
  <si>
    <t>incr.</t>
  </si>
  <si>
    <t>Shroud offset</t>
  </si>
  <si>
    <t>Shroud tension</t>
  </si>
  <si>
    <t>Shrouds tension</t>
  </si>
  <si>
    <t>Shrouds offset</t>
  </si>
  <si>
    <t>Default twist</t>
  </si>
  <si>
    <t>Working area for 'Sag' macros</t>
  </si>
  <si>
    <t>Elongation adjust factor</t>
  </si>
  <si>
    <t>Sag</t>
  </si>
  <si>
    <t>Angle</t>
  </si>
  <si>
    <t>Elong</t>
  </si>
  <si>
    <t>Tens</t>
  </si>
  <si>
    <t>Force</t>
  </si>
  <si>
    <t>Pivot</t>
  </si>
  <si>
    <t>Total</t>
  </si>
  <si>
    <t>Draft</t>
  </si>
  <si>
    <t>Twist</t>
  </si>
  <si>
    <t>Entry</t>
  </si>
  <si>
    <t>entry</t>
  </si>
  <si>
    <t>Jib lever wrt boom</t>
  </si>
  <si>
    <t>Jib sag force distribn</t>
  </si>
  <si>
    <t>Jib sag force on JS</t>
  </si>
  <si>
    <t>Leverage at TL</t>
  </si>
  <si>
    <t>TL releases at jib force</t>
  </si>
  <si>
    <t>Leverage at JS</t>
  </si>
  <si>
    <t>after release</t>
  </si>
  <si>
    <t>JS stretch due to lever</t>
  </si>
  <si>
    <t>TL release due to lever</t>
  </si>
  <si>
    <t>(First cut est)</t>
  </si>
  <si>
    <t>JS sag (total)</t>
  </si>
  <si>
    <t>Revised JS tension</t>
  </si>
  <si>
    <t>(dynamic)</t>
  </si>
  <si>
    <t>Revised TL tension</t>
  </si>
  <si>
    <t>Total TL lift</t>
  </si>
  <si>
    <t>Total entry angle</t>
  </si>
  <si>
    <t>JS sag (into draft)</t>
  </si>
  <si>
    <t>JS sag (into twist)</t>
  </si>
  <si>
    <t>Mid-leech twist (TL)</t>
  </si>
  <si>
    <t>Draw JS sag vs wind graph</t>
  </si>
  <si>
    <t>Draw JS sag vs pivot offset</t>
  </si>
  <si>
    <t>Draw mid-leech twist vs wind graph</t>
  </si>
  <si>
    <t>Fore</t>
  </si>
  <si>
    <t>Aft</t>
  </si>
  <si>
    <t>Nominal draft</t>
  </si>
  <si>
    <t>Entry angle calcs</t>
  </si>
  <si>
    <t>Exit angle calcs</t>
  </si>
  <si>
    <t>Max draft position</t>
  </si>
  <si>
    <t>First sag</t>
  </si>
  <si>
    <t>First entry</t>
  </si>
  <si>
    <t>First exit</t>
  </si>
  <si>
    <t>Next sag</t>
  </si>
  <si>
    <t>Next entry</t>
  </si>
  <si>
    <t>Next exit</t>
  </si>
  <si>
    <t>Nominal sag</t>
  </si>
  <si>
    <t>Nominal entry</t>
  </si>
  <si>
    <t>Nominal exit</t>
  </si>
  <si>
    <t>Additnl sag</t>
  </si>
  <si>
    <t>Total sag</t>
  </si>
  <si>
    <t>Sag distrib (approx)</t>
  </si>
  <si>
    <t>First draft</t>
  </si>
  <si>
    <t>Next draft</t>
  </si>
  <si>
    <t>Interpolated draft</t>
  </si>
  <si>
    <t>Interpolated</t>
  </si>
  <si>
    <t>Width at mid-leech</t>
  </si>
  <si>
    <t>(Full chord)</t>
  </si>
  <si>
    <t>Portion of jib forward of max draft position</t>
  </si>
  <si>
    <t>Portion of jib aft of max draft position</t>
  </si>
  <si>
    <t>Chord at mid-leech</t>
  </si>
  <si>
    <t>(Forward of sail max draft)</t>
  </si>
  <si>
    <t>(Aft of sail max draft)</t>
  </si>
  <si>
    <t>d</t>
  </si>
  <si>
    <t>Approx r</t>
  </si>
  <si>
    <t>Theta (radians)</t>
  </si>
  <si>
    <t>Theta (degrees)</t>
  </si>
  <si>
    <t>Half chord</t>
  </si>
  <si>
    <t>r-d</t>
  </si>
  <si>
    <t>% draft</t>
  </si>
  <si>
    <t>sag</t>
  </si>
  <si>
    <t>next sag</t>
  </si>
  <si>
    <t>next draft</t>
  </si>
  <si>
    <t>Exit</t>
  </si>
  <si>
    <t>JIB</t>
  </si>
  <si>
    <t>(Calculations from the "Leech" spreadsheet)</t>
  </si>
  <si>
    <t>Leech length</t>
  </si>
  <si>
    <t>g</t>
  </si>
  <si>
    <t>Foot</t>
  </si>
  <si>
    <t>head</t>
  </si>
  <si>
    <t>TL lift (mm)</t>
  </si>
  <si>
    <t>h</t>
  </si>
  <si>
    <t>r</t>
  </si>
  <si>
    <t>Phi</t>
  </si>
  <si>
    <t>Mid-leech twist</t>
  </si>
  <si>
    <t>Default gap</t>
  </si>
  <si>
    <t>Lower TL lift</t>
  </si>
  <si>
    <t>Upper TL lift</t>
  </si>
  <si>
    <t>Lift diff</t>
  </si>
  <si>
    <t>Lower twist</t>
  </si>
  <si>
    <t>Upper twist</t>
  </si>
  <si>
    <t>% incr</t>
  </si>
  <si>
    <t>Default TL lift</t>
  </si>
  <si>
    <t>(by linear interpolation)</t>
  </si>
  <si>
    <t>Gap reduced due to JS sag (twist)</t>
  </si>
  <si>
    <t>Gap - JS sag</t>
  </si>
  <si>
    <t>Twist after JS sag</t>
  </si>
  <si>
    <t>Current lift</t>
  </si>
  <si>
    <t>Upper lift</t>
  </si>
  <si>
    <t>Lower lift</t>
  </si>
  <si>
    <t>Current twist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</si>
</sst>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2" formatCode="0.0_)"/>
    <numFmt numFmtId="173" formatCode="0.00_)"/>
    <numFmt numFmtId="175" formatCode="0.0000"/>
    <numFmt numFmtId="176" formatCode="0.000"/>
    <numFmt numFmtId="177" formatCode="0.0"/>
    <numFmt numFmtId="179" formatCode="0_)"/>
    <numFmt numFmtId="185" formatCode="0.0%"/>
  </numFmts>
  <fonts count="5" x14ac:knownFonts="1">
    <font>
      <sz val="10"/>
      <name val="Courier"/>
    </font>
    <font>
      <sz val="11"/>
      <name val="Arial"/>
    </font>
    <font>
      <b/>
      <sz val="10"/>
      <name val="Courier"/>
      <family val="3"/>
    </font>
    <font>
      <b/>
      <sz val="11"/>
      <name val="Arial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172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Protection="1"/>
    <xf numFmtId="173" fontId="0" fillId="0" borderId="0" xfId="0" applyNumberFormat="1" applyProtection="1"/>
    <xf numFmtId="177" fontId="0" fillId="0" borderId="0" xfId="0" applyNumberFormat="1" applyAlignment="1" applyProtection="1">
      <alignment horizontal="right"/>
    </xf>
    <xf numFmtId="177" fontId="0" fillId="2" borderId="0" xfId="0" applyNumberFormat="1" applyFill="1" applyAlignment="1" applyProtection="1">
      <alignment horizontal="right"/>
    </xf>
    <xf numFmtId="0" fontId="2" fillId="0" borderId="0" xfId="0" applyFont="1"/>
    <xf numFmtId="172" fontId="0" fillId="0" borderId="0" xfId="0" applyNumberFormat="1" applyAlignment="1" applyProtection="1">
      <alignment horizontal="right"/>
    </xf>
    <xf numFmtId="177" fontId="0" fillId="3" borderId="0" xfId="0" applyNumberFormat="1" applyFill="1" applyAlignment="1" applyProtection="1">
      <alignment horizontal="right"/>
    </xf>
    <xf numFmtId="2" fontId="0" fillId="0" borderId="0" xfId="0" applyNumberFormat="1" applyAlignment="1" applyProtection="1">
      <alignment horizontal="right"/>
    </xf>
    <xf numFmtId="0" fontId="0" fillId="2" borderId="0" xfId="0" applyFill="1"/>
    <xf numFmtId="1" fontId="0" fillId="0" borderId="0" xfId="0" applyNumberFormat="1"/>
    <xf numFmtId="0" fontId="0" fillId="4" borderId="0" xfId="0" applyFill="1"/>
    <xf numFmtId="179" fontId="0" fillId="0" borderId="0" xfId="0" applyNumberFormat="1" applyProtection="1"/>
    <xf numFmtId="2" fontId="0" fillId="0" borderId="0" xfId="0" applyNumberFormat="1"/>
    <xf numFmtId="2" fontId="0" fillId="4" borderId="0" xfId="0" applyNumberFormat="1" applyFill="1"/>
    <xf numFmtId="1" fontId="0" fillId="4" borderId="0" xfId="0" applyNumberFormat="1" applyFill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0" fillId="2" borderId="0" xfId="0" applyNumberFormat="1" applyFill="1" applyAlignment="1" applyProtection="1">
      <alignment horizontal="right"/>
    </xf>
    <xf numFmtId="9" fontId="0" fillId="4" borderId="0" xfId="0" applyNumberFormat="1" applyFill="1"/>
    <xf numFmtId="179" fontId="0" fillId="4" borderId="0" xfId="0" applyNumberFormat="1" applyFill="1" applyProtection="1"/>
    <xf numFmtId="0" fontId="0" fillId="0" borderId="0" xfId="0" applyAlignment="1">
      <alignment horizontal="right"/>
    </xf>
    <xf numFmtId="2" fontId="0" fillId="0" borderId="0" xfId="0" applyNumberFormat="1" applyFill="1"/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Continuous"/>
    </xf>
    <xf numFmtId="2" fontId="0" fillId="0" borderId="0" xfId="0" applyNumberFormat="1" applyProtection="1"/>
    <xf numFmtId="0" fontId="0" fillId="0" borderId="0" xfId="0" applyFill="1"/>
    <xf numFmtId="177" fontId="0" fillId="0" borderId="0" xfId="0" applyNumberFormat="1"/>
    <xf numFmtId="2" fontId="0" fillId="0" borderId="1" xfId="0" applyNumberFormat="1" applyFill="1" applyBorder="1" applyAlignment="1" applyProtection="1">
      <alignment horizontal="right"/>
    </xf>
    <xf numFmtId="2" fontId="0" fillId="0" borderId="1" xfId="0" applyNumberFormat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/>
    <xf numFmtId="177" fontId="0" fillId="0" borderId="1" xfId="0" applyNumberFormat="1" applyBorder="1"/>
    <xf numFmtId="175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176" fontId="0" fillId="0" borderId="0" xfId="0" applyNumberFormat="1"/>
    <xf numFmtId="2" fontId="0" fillId="0" borderId="1" xfId="0" applyNumberFormat="1" applyBorder="1"/>
    <xf numFmtId="1" fontId="0" fillId="0" borderId="0" xfId="0" applyNumberFormat="1" applyFill="1" applyAlignment="1" applyProtection="1">
      <alignment horizontal="right"/>
    </xf>
    <xf numFmtId="177" fontId="0" fillId="0" borderId="0" xfId="0" applyNumberFormat="1" applyFill="1"/>
    <xf numFmtId="179" fontId="0" fillId="0" borderId="0" xfId="0" applyNumberFormat="1" applyFill="1" applyProtection="1"/>
    <xf numFmtId="0" fontId="0" fillId="0" borderId="0" xfId="0" applyAlignment="1">
      <alignment horizontal="left"/>
    </xf>
    <xf numFmtId="9" fontId="0" fillId="0" borderId="0" xfId="1" applyFont="1"/>
    <xf numFmtId="9" fontId="0" fillId="0" borderId="0" xfId="0" applyNumberFormat="1" applyFill="1"/>
    <xf numFmtId="177" fontId="0" fillId="3" borderId="0" xfId="0" applyNumberFormat="1" applyFill="1"/>
    <xf numFmtId="2" fontId="0" fillId="3" borderId="0" xfId="0" applyNumberFormat="1" applyFill="1"/>
    <xf numFmtId="0" fontId="0" fillId="3" borderId="0" xfId="0" applyFill="1"/>
    <xf numFmtId="1" fontId="0" fillId="0" borderId="0" xfId="0" applyNumberFormat="1" applyFill="1"/>
    <xf numFmtId="0" fontId="3" fillId="0" borderId="1" xfId="0" applyFont="1" applyBorder="1"/>
    <xf numFmtId="2" fontId="3" fillId="0" borderId="1" xfId="0" applyNumberFormat="1" applyFont="1" applyBorder="1"/>
    <xf numFmtId="0" fontId="0" fillId="0" borderId="7" xfId="0" applyBorder="1"/>
    <xf numFmtId="0" fontId="0" fillId="0" borderId="7" xfId="0" applyBorder="1" applyAlignment="1">
      <alignment horizontal="centerContinuous"/>
    </xf>
    <xf numFmtId="2" fontId="0" fillId="0" borderId="0" xfId="0" applyNumberFormat="1" applyBorder="1"/>
    <xf numFmtId="0" fontId="0" fillId="4" borderId="0" xfId="0" applyFill="1" applyBorder="1"/>
    <xf numFmtId="9" fontId="0" fillId="0" borderId="0" xfId="1" applyFont="1" applyBorder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10" fontId="0" fillId="2" borderId="0" xfId="0" applyNumberFormat="1" applyFill="1"/>
    <xf numFmtId="0" fontId="0" fillId="0" borderId="0" xfId="1" applyNumberFormat="1" applyFont="1"/>
    <xf numFmtId="10" fontId="0" fillId="0" borderId="0" xfId="1" applyNumberFormat="1" applyFont="1" applyFill="1"/>
    <xf numFmtId="10" fontId="0" fillId="0" borderId="0" xfId="1" applyNumberFormat="1" applyFont="1"/>
    <xf numFmtId="10" fontId="0" fillId="0" borderId="0" xfId="0" applyNumberFormat="1"/>
    <xf numFmtId="0" fontId="0" fillId="4" borderId="2" xfId="0" applyFill="1" applyBorder="1" applyAlignment="1">
      <alignment horizontal="centerContinuous"/>
    </xf>
    <xf numFmtId="0" fontId="0" fillId="4" borderId="7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185" fontId="0" fillId="0" borderId="0" xfId="1" applyNumberFormat="1" applyFont="1"/>
    <xf numFmtId="0" fontId="0" fillId="0" borderId="8" xfId="0" applyFill="1" applyBorder="1"/>
    <xf numFmtId="0" fontId="0" fillId="0" borderId="6" xfId="0" applyFill="1" applyBorder="1"/>
    <xf numFmtId="10" fontId="0" fillId="0" borderId="1" xfId="0" applyNumberFormat="1" applyBorder="1"/>
    <xf numFmtId="0" fontId="0" fillId="0" borderId="4" xfId="0" applyFill="1" applyBorder="1"/>
    <xf numFmtId="0" fontId="0" fillId="0" borderId="0" xfId="0" applyFill="1" applyBorder="1"/>
    <xf numFmtId="185" fontId="0" fillId="4" borderId="0" xfId="1" applyNumberFormat="1" applyFont="1" applyFill="1" applyBorder="1"/>
    <xf numFmtId="177" fontId="0" fillId="4" borderId="0" xfId="0" applyNumberFormat="1" applyFill="1" applyProtection="1"/>
    <xf numFmtId="10" fontId="0" fillId="3" borderId="0" xfId="1" applyNumberFormat="1" applyFont="1" applyFill="1"/>
    <xf numFmtId="9" fontId="0" fillId="0" borderId="1" xfId="1" applyFont="1" applyBorder="1"/>
    <xf numFmtId="0" fontId="0" fillId="3" borderId="0" xfId="1" applyNumberFormat="1" applyFont="1" applyFill="1"/>
    <xf numFmtId="0" fontId="0" fillId="0" borderId="5" xfId="0" applyFill="1" applyBorder="1"/>
    <xf numFmtId="0" fontId="0" fillId="0" borderId="9" xfId="0" applyBorder="1"/>
    <xf numFmtId="9" fontId="0" fillId="4" borderId="6" xfId="0" applyNumberFormat="1" applyFill="1" applyBorder="1"/>
    <xf numFmtId="185" fontId="0" fillId="0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Tensions vs Pivot Offset</a:t>
            </a:r>
          </a:p>
        </c:rich>
      </c:tx>
      <c:layout>
        <c:manualLayout>
          <c:xMode val="edge"/>
          <c:yMode val="edge"/>
          <c:x val="0.35118110236220473"/>
          <c:y val="3.3591816032320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6062992125984"/>
          <c:y val="0.18346299525344006"/>
          <c:w val="0.85196850393700785"/>
          <c:h val="0.66150037725184019"/>
        </c:manualLayout>
      </c:layout>
      <c:lineChart>
        <c:grouping val="standard"/>
        <c:varyColors val="0"/>
        <c:ser>
          <c:idx val="0"/>
          <c:order val="0"/>
          <c:tx>
            <c:v>Topping lift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Tensions!$B$41:$B$56</c:f>
              <c:numCache>
                <c:formatCode>0_)</c:formatCode>
                <c:ptCount val="16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</c:numCache>
            </c:numRef>
          </c:cat>
          <c:val>
            <c:numRef>
              <c:f>Tensions!$D$41:$D$56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7.5466855394401566E-2</c:v>
                </c:pt>
                <c:pt idx="6">
                  <c:v>0.16533633697213168</c:v>
                </c:pt>
                <c:pt idx="7">
                  <c:v>0.2581125496386576</c:v>
                </c:pt>
                <c:pt idx="8">
                  <c:v>0.35394575997325672</c:v>
                </c:pt>
                <c:pt idx="9">
                  <c:v>0.45299660409681741</c:v>
                </c:pt>
                <c:pt idx="10">
                  <c:v>0.55543699716214778</c:v>
                </c:pt>
                <c:pt idx="11">
                  <c:v>0.66145114028815555</c:v>
                </c:pt>
                <c:pt idx="12">
                  <c:v>0.7712366373398305</c:v>
                </c:pt>
                <c:pt idx="13">
                  <c:v>0.88500573579335251</c:v>
                </c:pt>
                <c:pt idx="14">
                  <c:v>1.0029867080749224</c:v>
                </c:pt>
                <c:pt idx="15">
                  <c:v>1.1254253922832802</c:v>
                </c:pt>
              </c:numCache>
            </c:numRef>
          </c:val>
          <c:smooth val="0"/>
        </c:ser>
        <c:ser>
          <c:idx val="1"/>
          <c:order val="1"/>
          <c:tx>
            <c:v>Jibstay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Tensions!$E$41:$E$56</c:f>
              <c:numCache>
                <c:formatCode>0.00</c:formatCode>
                <c:ptCount val="16"/>
                <c:pt idx="0">
                  <c:v>12.165648979781514</c:v>
                </c:pt>
                <c:pt idx="1">
                  <c:v>11.719504398312063</c:v>
                </c:pt>
                <c:pt idx="2">
                  <c:v>11.319167099699358</c:v>
                </c:pt>
                <c:pt idx="3">
                  <c:v>10.989955213111829</c:v>
                </c:pt>
                <c:pt idx="4">
                  <c:v>10.699229930090013</c:v>
                </c:pt>
                <c:pt idx="5">
                  <c:v>10.576159943170675</c:v>
                </c:pt>
                <c:pt idx="6">
                  <c:v>10.476536079948378</c:v>
                </c:pt>
                <c:pt idx="7">
                  <c:v>10.376909249487237</c:v>
                </c:pt>
                <c:pt idx="8">
                  <c:v>10.277280061165971</c:v>
                </c:pt>
                <c:pt idx="9">
                  <c:v>10.177649126218435</c:v>
                </c:pt>
                <c:pt idx="10">
                  <c:v>10.09651069793507</c:v>
                </c:pt>
                <c:pt idx="11">
                  <c:v>9.9944726486756945</c:v>
                </c:pt>
                <c:pt idx="12">
                  <c:v>9.8924319533763985</c:v>
                </c:pt>
                <c:pt idx="13">
                  <c:v>9.7903892821917466</c:v>
                </c:pt>
                <c:pt idx="14">
                  <c:v>9.6883453071992012</c:v>
                </c:pt>
                <c:pt idx="15">
                  <c:v>9.6045003721196593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864928"/>
        <c:axId val="462865712"/>
      </c:lineChart>
      <c:catAx>
        <c:axId val="46286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Pivot offset</a:t>
                </a:r>
              </a:p>
            </c:rich>
          </c:tx>
          <c:layout>
            <c:manualLayout>
              <c:xMode val="edge"/>
              <c:yMode val="edge"/>
              <c:x val="0.81259842519685044"/>
              <c:y val="0.91731497626720027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8657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628657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Tension</a:t>
                </a:r>
              </a:p>
            </c:rich>
          </c:tx>
          <c:layout>
            <c:manualLayout>
              <c:xMode val="edge"/>
              <c:yMode val="edge"/>
              <c:x val="1.4173228346456693E-2"/>
              <c:y val="4.6511745275520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864928"/>
        <c:crosses val="autoZero"/>
        <c:crossBetween val="between"/>
        <c:minorUnit val="0.29811599999999999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488188976377953"/>
          <c:y val="0.52971709897120012"/>
          <c:w val="0.30551181102362207"/>
          <c:h val="6.71836320646400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Tensions vs Wind Speed</a:t>
            </a:r>
          </a:p>
        </c:rich>
      </c:tx>
      <c:layout>
        <c:manualLayout>
          <c:xMode val="edge"/>
          <c:yMode val="edge"/>
          <c:x val="0.34700342182218386"/>
          <c:y val="3.33334168004226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7831482766508"/>
          <c:y val="0.18205173791000079"/>
          <c:w val="0.86593126627444972"/>
          <c:h val="0.67436066296239727"/>
        </c:manualLayout>
      </c:layout>
      <c:lineChart>
        <c:grouping val="standard"/>
        <c:varyColors val="0"/>
        <c:ser>
          <c:idx val="0"/>
          <c:order val="0"/>
          <c:tx>
            <c:v>JS tension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Tensions!$M$41:$M$60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Tensions!$P$41:$P$60</c:f>
              <c:numCache>
                <c:formatCode>0.00</c:formatCode>
                <c:ptCount val="20"/>
                <c:pt idx="0">
                  <c:v>4.4901129463658869</c:v>
                </c:pt>
                <c:pt idx="1">
                  <c:v>4.6981465079888407</c:v>
                </c:pt>
                <c:pt idx="2">
                  <c:v>5.0237562067499288</c:v>
                </c:pt>
                <c:pt idx="3">
                  <c:v>5.3997218564174485</c:v>
                </c:pt>
                <c:pt idx="4">
                  <c:v>5.8054232555761311</c:v>
                </c:pt>
                <c:pt idx="5">
                  <c:v>6.231443378346488</c:v>
                </c:pt>
                <c:pt idx="6">
                  <c:v>6.6750344994720834</c:v>
                </c:pt>
                <c:pt idx="7">
                  <c:v>7.1531519383606161</c:v>
                </c:pt>
                <c:pt idx="8">
                  <c:v>7.648371627444706</c:v>
                </c:pt>
                <c:pt idx="9">
                  <c:v>8.1381801331764922</c:v>
                </c:pt>
                <c:pt idx="10">
                  <c:v>8.6644827791429293</c:v>
                </c:pt>
                <c:pt idx="11">
                  <c:v>9.207897354095115</c:v>
                </c:pt>
                <c:pt idx="12">
                  <c:v>9.7468733885675096</c:v>
                </c:pt>
                <c:pt idx="13">
                  <c:v>10.321354742435441</c:v>
                </c:pt>
                <c:pt idx="14">
                  <c:v>10.950410678498848</c:v>
                </c:pt>
                <c:pt idx="15">
                  <c:v>11.764273451157397</c:v>
                </c:pt>
                <c:pt idx="16">
                  <c:v>12.622436980076939</c:v>
                </c:pt>
                <c:pt idx="17">
                  <c:v>13.485600633940937</c:v>
                </c:pt>
                <c:pt idx="18">
                  <c:v>14.375739140729229</c:v>
                </c:pt>
                <c:pt idx="19">
                  <c:v>15.310639205000887</c:v>
                </c:pt>
              </c:numCache>
            </c:numRef>
          </c:val>
          <c:smooth val="0"/>
        </c:ser>
        <c:ser>
          <c:idx val="1"/>
          <c:order val="1"/>
          <c:tx>
            <c:v>TL tension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Tensions!$M$41:$M$60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Tensions!$O$41:$O$60</c:f>
              <c:numCache>
                <c:formatCode>0.00</c:formatCode>
                <c:ptCount val="20"/>
                <c:pt idx="0">
                  <c:v>0.98269559744687984</c:v>
                </c:pt>
                <c:pt idx="1">
                  <c:v>0.93115416818688834</c:v>
                </c:pt>
                <c:pt idx="2">
                  <c:v>0.87840001954063018</c:v>
                </c:pt>
                <c:pt idx="3">
                  <c:v>0.82385601378522622</c:v>
                </c:pt>
                <c:pt idx="4">
                  <c:v>0.7669775064854949</c:v>
                </c:pt>
                <c:pt idx="5">
                  <c:v>0.70725933701587584</c:v>
                </c:pt>
                <c:pt idx="6">
                  <c:v>0.64424029787179293</c:v>
                </c:pt>
                <c:pt idx="7">
                  <c:v>0.57750518443441079</c:v>
                </c:pt>
                <c:pt idx="8">
                  <c:v>0.5066847504615476</c:v>
                </c:pt>
                <c:pt idx="9">
                  <c:v>0.43145401943004646</c:v>
                </c:pt>
                <c:pt idx="10">
                  <c:v>0.35152943513967017</c:v>
                </c:pt>
                <c:pt idx="11">
                  <c:v>0.26666530031720237</c:v>
                </c:pt>
                <c:pt idx="12">
                  <c:v>0.17664987766075313</c:v>
                </c:pt>
                <c:pt idx="13">
                  <c:v>8.1301438613647692E-2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864144"/>
        <c:axId val="462866496"/>
      </c:lineChart>
      <c:catAx>
        <c:axId val="46286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Wind speed</a:t>
                </a:r>
              </a:p>
            </c:rich>
          </c:tx>
          <c:layout>
            <c:manualLayout>
              <c:xMode val="edge"/>
              <c:yMode val="edge"/>
              <c:x val="0.81230346472011217"/>
              <c:y val="0.917951016503947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866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2866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Tension</a:t>
                </a:r>
              </a:p>
            </c:rich>
          </c:tx>
          <c:layout>
            <c:manualLayout>
              <c:xMode val="edge"/>
              <c:yMode val="edge"/>
              <c:x val="6.1514242959387136E-2"/>
              <c:y val="6.1538615631549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864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18306248079414"/>
          <c:y val="0.22051337267971924"/>
          <c:w val="0.33911698041713423"/>
          <c:h val="6.6666833600845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Estimated Heel vs Wind Speed</a:t>
            </a:r>
          </a:p>
        </c:rich>
      </c:tx>
      <c:layout>
        <c:manualLayout>
          <c:xMode val="edge"/>
          <c:yMode val="edge"/>
          <c:x val="0.31279669109876562"/>
          <c:y val="3.3591816032320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4534496776413"/>
          <c:y val="0.18346299525344006"/>
          <c:w val="0.87203926003292243"/>
          <c:h val="0.63307653291680022"/>
        </c:manualLayout>
      </c:layout>
      <c:lineChart>
        <c:grouping val="standard"/>
        <c:varyColors val="0"/>
        <c:ser>
          <c:idx val="0"/>
          <c:order val="0"/>
          <c:tx>
            <c:v>Heel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Tensions!$M$41:$M$60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Tensions!$N$41:$N$60</c:f>
              <c:numCache>
                <c:formatCode>0.0</c:formatCode>
                <c:ptCount val="20"/>
                <c:pt idx="0">
                  <c:v>0.13842747248373496</c:v>
                </c:pt>
                <c:pt idx="1">
                  <c:v>0.55371797046274696</c:v>
                </c:pt>
                <c:pt idx="2">
                  <c:v>1.2459442352478163</c:v>
                </c:pt>
                <c:pt idx="3">
                  <c:v>2.215389382338476</c:v>
                </c:pt>
                <c:pt idx="4">
                  <c:v>3.4627911174779662</c:v>
                </c:pt>
                <c:pt idx="5">
                  <c:v>4.9896887850569049</c:v>
                </c:pt>
                <c:pt idx="6">
                  <c:v>6.7988840424114976</c:v>
                </c:pt>
                <c:pt idx="7">
                  <c:v>8.8950377250763744</c:v>
                </c:pt>
                <c:pt idx="8">
                  <c:v>11.285445504170719</c:v>
                </c:pt>
                <c:pt idx="9">
                  <c:v>13.981068604682335</c:v>
                </c:pt>
                <c:pt idx="10">
                  <c:v>16.997953744894399</c:v>
                </c:pt>
                <c:pt idx="11">
                  <c:v>20.359280683288361</c:v>
                </c:pt>
                <c:pt idx="12">
                  <c:v>24.098475158268229</c:v>
                </c:pt>
                <c:pt idx="13">
                  <c:v>28.26423531649057</c:v>
                </c:pt>
                <c:pt idx="14">
                  <c:v>32.929241257555304</c:v>
                </c:pt>
                <c:pt idx="15">
                  <c:v>38.206626712779226</c:v>
                </c:pt>
                <c:pt idx="16">
                  <c:v>44.284984896570968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Design heel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Tensions!$Q$41:$Q$60</c:f>
              <c:numCache>
                <c:formatCode>General</c:formatCode>
                <c:ptCount val="2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188568"/>
        <c:axId val="375188960"/>
      </c:lineChart>
      <c:catAx>
        <c:axId val="375188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Wind speed</a:t>
                </a:r>
              </a:p>
            </c:rich>
          </c:tx>
          <c:layout>
            <c:manualLayout>
              <c:xMode val="edge"/>
              <c:yMode val="edge"/>
              <c:x val="0.81832669691495252"/>
              <c:y val="0.906979032872640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88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5188960"/>
        <c:scaling>
          <c:orientation val="minMax"/>
          <c:max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Heel angle</a:t>
                </a:r>
              </a:p>
            </c:rich>
          </c:tx>
          <c:layout>
            <c:manualLayout>
              <c:xMode val="edge"/>
              <c:yMode val="edge"/>
              <c:x val="3.3175406631687263E-2"/>
              <c:y val="6.71836320646400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88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Jibstay sag &amp; draft vs wind speed</a:t>
            </a:r>
          </a:p>
        </c:rich>
      </c:tx>
      <c:layout>
        <c:manualLayout>
          <c:xMode val="edge"/>
          <c:yMode val="edge"/>
          <c:x val="0.29120022750017771"/>
          <c:y val="3.34190231362467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00008125006348"/>
          <c:y val="0.17994858611825193"/>
          <c:w val="0.78080061000047651"/>
          <c:h val="0.66323907455012854"/>
        </c:manualLayout>
      </c:layout>
      <c:lineChart>
        <c:grouping val="standard"/>
        <c:varyColors val="0"/>
        <c:ser>
          <c:idx val="1"/>
          <c:order val="0"/>
          <c:tx>
            <c:v>JS sag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'JS sag'!$M$5:$M$24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'JS sag'!$N$5:$N$24</c:f>
              <c:numCache>
                <c:formatCode>General</c:formatCode>
                <c:ptCount val="20"/>
                <c:pt idx="0">
                  <c:v>1.6079996687620466</c:v>
                </c:pt>
                <c:pt idx="1">
                  <c:v>3.0571532828971568</c:v>
                </c:pt>
                <c:pt idx="2">
                  <c:v>4.303361867067335</c:v>
                </c:pt>
                <c:pt idx="3">
                  <c:v>5.3861876541298557</c:v>
                </c:pt>
                <c:pt idx="4">
                  <c:v>6.3424770580258043</c:v>
                </c:pt>
                <c:pt idx="5">
                  <c:v>7.2082209642337434</c:v>
                </c:pt>
                <c:pt idx="6">
                  <c:v>8.0121476170635297</c:v>
                </c:pt>
                <c:pt idx="7">
                  <c:v>8.7572665249807784</c:v>
                </c:pt>
                <c:pt idx="8">
                  <c:v>9.4721686742738633</c:v>
                </c:pt>
                <c:pt idx="9">
                  <c:v>10.15032905127075</c:v>
                </c:pt>
                <c:pt idx="10">
                  <c:v>10.806909006206149</c:v>
                </c:pt>
                <c:pt idx="11">
                  <c:v>11.446527359508982</c:v>
                </c:pt>
                <c:pt idx="12">
                  <c:v>12.06666731531066</c:v>
                </c:pt>
                <c:pt idx="13">
                  <c:v>12.671184461350204</c:v>
                </c:pt>
                <c:pt idx="14">
                  <c:v>13.220765782170407</c:v>
                </c:pt>
                <c:pt idx="15">
                  <c:v>13.574517446274678</c:v>
                </c:pt>
                <c:pt idx="16">
                  <c:v>13.917894435101889</c:v>
                </c:pt>
                <c:pt idx="17">
                  <c:v>14.251833330538242</c:v>
                </c:pt>
                <c:pt idx="18">
                  <c:v>14.581350369626627</c:v>
                </c:pt>
                <c:pt idx="19">
                  <c:v>14.901724119190613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190528"/>
        <c:axId val="375192488"/>
      </c:lineChart>
      <c:lineChart>
        <c:grouping val="standard"/>
        <c:varyColors val="0"/>
        <c:ser>
          <c:idx val="0"/>
          <c:order val="1"/>
          <c:tx>
            <c:v>Jib draft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'JS sag'!$L$5:$L$24</c:f>
              <c:numCache>
                <c:formatCode>0.0%</c:formatCode>
                <c:ptCount val="20"/>
                <c:pt idx="0">
                  <c:v>5.2304431807440342E-2</c:v>
                </c:pt>
                <c:pt idx="1">
                  <c:v>6.5871693246424945E-2</c:v>
                </c:pt>
                <c:pt idx="2">
                  <c:v>7.5224914508200014E-2</c:v>
                </c:pt>
                <c:pt idx="3">
                  <c:v>8.2113513654441014E-2</c:v>
                </c:pt>
                <c:pt idx="4">
                  <c:v>8.7469611915070883E-2</c:v>
                </c:pt>
                <c:pt idx="5">
                  <c:v>9.1920312617168723E-2</c:v>
                </c:pt>
                <c:pt idx="6">
                  <c:v>9.5728346169464601E-2</c:v>
                </c:pt>
                <c:pt idx="7">
                  <c:v>9.9047337899098503E-2</c:v>
                </c:pt>
                <c:pt idx="8">
                  <c:v>0.10210254398969824</c:v>
                </c:pt>
                <c:pt idx="9">
                  <c:v>0.10481859750446526</c:v>
                </c:pt>
                <c:pt idx="10">
                  <c:v>0.10736863355830338</c:v>
                </c:pt>
                <c:pt idx="11">
                  <c:v>0.10973710500791418</c:v>
                </c:pt>
                <c:pt idx="12">
                  <c:v>0.1119648127036383</c:v>
                </c:pt>
                <c:pt idx="13">
                  <c:v>0.11404027547238448</c:v>
                </c:pt>
                <c:pt idx="14">
                  <c:v>0.1158909413765068</c:v>
                </c:pt>
                <c:pt idx="15">
                  <c:v>0.11687396593725941</c:v>
                </c:pt>
                <c:pt idx="16">
                  <c:v>0.11758496399132083</c:v>
                </c:pt>
                <c:pt idx="17">
                  <c:v>0.11828631137857754</c:v>
                </c:pt>
                <c:pt idx="18">
                  <c:v>0.1189311398971227</c:v>
                </c:pt>
                <c:pt idx="19">
                  <c:v>0.11952786558974367</c:v>
                </c:pt>
              </c:numCache>
            </c:numRef>
          </c:val>
          <c:smooth val="0"/>
        </c:ser>
        <c:ser>
          <c:idx val="2"/>
          <c:order val="2"/>
          <c:tx>
            <c:v>Nominal draft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'JS sag'!$U$5:$U$24</c:f>
              <c:numCache>
                <c:formatCode>0%</c:formatCode>
                <c:ptCount val="20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0.08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184648"/>
        <c:axId val="375196800"/>
      </c:lineChart>
      <c:catAx>
        <c:axId val="37519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Wind speed</a:t>
                </a:r>
              </a:p>
            </c:rich>
          </c:tx>
          <c:layout>
            <c:manualLayout>
              <c:xMode val="edge"/>
              <c:yMode val="edge"/>
              <c:x val="0.75200058750045895"/>
              <c:y val="0.930591259640102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92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5192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Sag (mm)</a:t>
                </a:r>
              </a:p>
            </c:rich>
          </c:tx>
          <c:layout>
            <c:manualLayout>
              <c:xMode val="edge"/>
              <c:yMode val="edge"/>
              <c:x val="2.2400017500013671E-2"/>
              <c:y val="4.11311053984575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90528"/>
        <c:crosses val="autoZero"/>
        <c:crossBetween val="between"/>
      </c:valAx>
      <c:catAx>
        <c:axId val="375184648"/>
        <c:scaling>
          <c:orientation val="minMax"/>
        </c:scaling>
        <c:delete val="1"/>
        <c:axPos val="b"/>
        <c:majorTickMark val="out"/>
        <c:minorTickMark val="none"/>
        <c:tickLblPos val="nextTo"/>
        <c:crossAx val="375196800"/>
        <c:crosses val="autoZero"/>
        <c:auto val="0"/>
        <c:lblAlgn val="ctr"/>
        <c:lblOffset val="100"/>
        <c:noMultiLvlLbl val="0"/>
      </c:catAx>
      <c:valAx>
        <c:axId val="3751968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Draft (%)</a:t>
                </a:r>
              </a:p>
            </c:rich>
          </c:tx>
          <c:layout>
            <c:manualLayout>
              <c:xMode val="edge"/>
              <c:yMode val="edge"/>
              <c:x val="0.89120069625054399"/>
              <c:y val="5.3984575835475578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8464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280032250025195"/>
          <c:y val="0.72493573264781486"/>
          <c:w val="0.4384003425002676"/>
          <c:h val="6.16966580976863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Jibstay sag &amp; draft vs pivot offset</a:t>
            </a:r>
          </a:p>
        </c:rich>
      </c:tx>
      <c:layout>
        <c:manualLayout>
          <c:xMode val="edge"/>
          <c:yMode val="edge"/>
          <c:x val="0.29570747217806043"/>
          <c:y val="3.3163265306122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33863275039745"/>
          <c:y val="0.17857142857142858"/>
          <c:w val="0.77901430842607311"/>
          <c:h val="0.69132653061224492"/>
        </c:manualLayout>
      </c:layout>
      <c:lineChart>
        <c:grouping val="standard"/>
        <c:varyColors val="0"/>
        <c:ser>
          <c:idx val="1"/>
          <c:order val="0"/>
          <c:tx>
            <c:v>Sag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'JS sag'!$Q$5:$Q$20</c:f>
              <c:numCache>
                <c:formatCode>General</c:formatCode>
                <c:ptCount val="16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</c:numCache>
            </c:numRef>
          </c:cat>
          <c:val>
            <c:numRef>
              <c:f>'JS sag'!$R$5:$R$20</c:f>
              <c:numCache>
                <c:formatCode>0.00</c:formatCode>
                <c:ptCount val="16"/>
                <c:pt idx="0">
                  <c:v>12.231646248897441</c:v>
                </c:pt>
                <c:pt idx="1">
                  <c:v>12.494319590418845</c:v>
                </c:pt>
                <c:pt idx="2">
                  <c:v>12.696232721734743</c:v>
                </c:pt>
                <c:pt idx="3">
                  <c:v>12.859733918703684</c:v>
                </c:pt>
                <c:pt idx="4">
                  <c:v>12.991431612301263</c:v>
                </c:pt>
                <c:pt idx="5">
                  <c:v>12.924620184458142</c:v>
                </c:pt>
                <c:pt idx="6">
                  <c:v>12.829172772183627</c:v>
                </c:pt>
                <c:pt idx="7">
                  <c:v>12.733675049152342</c:v>
                </c:pt>
                <c:pt idx="8">
                  <c:v>12.638127520992807</c:v>
                </c:pt>
                <c:pt idx="9">
                  <c:v>12.542530696445541</c:v>
                </c:pt>
                <c:pt idx="10">
                  <c:v>12.443344740784356</c:v>
                </c:pt>
                <c:pt idx="11">
                  <c:v>12.341271175043673</c:v>
                </c:pt>
                <c:pt idx="12">
                  <c:v>12.239145085902514</c:v>
                </c:pt>
                <c:pt idx="13">
                  <c:v>12.136967068956654</c:v>
                </c:pt>
                <c:pt idx="14">
                  <c:v>12.034737723185319</c:v>
                </c:pt>
                <c:pt idx="15">
                  <c:v>11.92783674117115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199152"/>
        <c:axId val="375197192"/>
      </c:lineChart>
      <c:lineChart>
        <c:grouping val="standard"/>
        <c:varyColors val="0"/>
        <c:ser>
          <c:idx val="0"/>
          <c:order val="1"/>
          <c:tx>
            <c:v>Draft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'JS sag'!$T$5:$T$20</c:f>
              <c:numCache>
                <c:formatCode>0.0%</c:formatCode>
                <c:ptCount val="16"/>
                <c:pt idx="0">
                  <c:v>0.11209559665192152</c:v>
                </c:pt>
                <c:pt idx="1">
                  <c:v>0.11310349898070642</c:v>
                </c:pt>
                <c:pt idx="2">
                  <c:v>0.11387825866544192</c:v>
                </c:pt>
                <c:pt idx="3">
                  <c:v>0.11450562814355351</c:v>
                </c:pt>
                <c:pt idx="4">
                  <c:v>0.11501096458654303</c:v>
                </c:pt>
                <c:pt idx="5">
                  <c:v>0.114754602851003</c:v>
                </c:pt>
                <c:pt idx="6">
                  <c:v>0.11438836214857477</c:v>
                </c:pt>
                <c:pt idx="7">
                  <c:v>0.11402192839903857</c:v>
                </c:pt>
                <c:pt idx="8">
                  <c:v>0.11365530354253867</c:v>
                </c:pt>
                <c:pt idx="9">
                  <c:v>0.11328848953116027</c:v>
                </c:pt>
                <c:pt idx="10">
                  <c:v>0.11290790368596321</c:v>
                </c:pt>
                <c:pt idx="11">
                  <c:v>0.11251623780916914</c:v>
                </c:pt>
                <c:pt idx="12">
                  <c:v>0.11212437039514501</c:v>
                </c:pt>
                <c:pt idx="13">
                  <c:v>0.11173230372924789</c:v>
                </c:pt>
                <c:pt idx="14">
                  <c:v>0.11134004010981741</c:v>
                </c:pt>
                <c:pt idx="15">
                  <c:v>0.11091543850575901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198368"/>
        <c:axId val="375197976"/>
      </c:lineChart>
      <c:catAx>
        <c:axId val="37519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Pivot offset</a:t>
                </a:r>
              </a:p>
            </c:rich>
          </c:tx>
          <c:layout>
            <c:manualLayout>
              <c:xMode val="edge"/>
              <c:yMode val="edge"/>
              <c:x val="0.76629570747217801"/>
              <c:y val="0.931122448979591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97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51971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Sag (mm)</a:t>
                </a:r>
              </a:p>
            </c:rich>
          </c:tx>
          <c:layout>
            <c:manualLayout>
              <c:xMode val="edge"/>
              <c:yMode val="edge"/>
              <c:x val="2.7027027027027029E-2"/>
              <c:y val="5.61224489795918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99152"/>
        <c:crosses val="autoZero"/>
        <c:crossBetween val="between"/>
      </c:valAx>
      <c:catAx>
        <c:axId val="375198368"/>
        <c:scaling>
          <c:orientation val="minMax"/>
        </c:scaling>
        <c:delete val="1"/>
        <c:axPos val="b"/>
        <c:majorTickMark val="out"/>
        <c:minorTickMark val="none"/>
        <c:tickLblPos val="nextTo"/>
        <c:crossAx val="375197976"/>
        <c:crosses val="autoZero"/>
        <c:auto val="0"/>
        <c:lblAlgn val="ctr"/>
        <c:lblOffset val="100"/>
        <c:noMultiLvlLbl val="0"/>
      </c:catAx>
      <c:valAx>
        <c:axId val="375197976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Draft (%)</a:t>
                </a:r>
              </a:p>
            </c:rich>
          </c:tx>
          <c:layout>
            <c:manualLayout>
              <c:xMode val="edge"/>
              <c:yMode val="edge"/>
              <c:x val="0.87281399046104924"/>
              <c:y val="4.0816326530612242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19836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70588235294118"/>
          <c:y val="0.75765306122448983"/>
          <c:w val="0.20190779014308427"/>
          <c:h val="6.12244897959183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Jib twist vs wind speed</a:t>
            </a:r>
          </a:p>
        </c:rich>
      </c:tx>
      <c:layout>
        <c:manualLayout>
          <c:xMode val="edge"/>
          <c:yMode val="edge"/>
          <c:x val="0.35520027750021682"/>
          <c:y val="3.34190231362467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00066250051764E-2"/>
          <c:y val="0.17994858611825193"/>
          <c:w val="0.85760067000052342"/>
          <c:h val="0.64267352185089976"/>
        </c:manualLayout>
      </c:layout>
      <c:lineChart>
        <c:grouping val="standard"/>
        <c:varyColors val="0"/>
        <c:ser>
          <c:idx val="0"/>
          <c:order val="0"/>
          <c:tx>
            <c:v>Jib twist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'JS sag'!$M$5:$M$24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'JS sag'!$O$5:$O$24</c:f>
              <c:numCache>
                <c:formatCode>General</c:formatCode>
                <c:ptCount val="20"/>
                <c:pt idx="0">
                  <c:v>9.7590760851414746</c:v>
                </c:pt>
                <c:pt idx="1">
                  <c:v>9.5843699376910081</c:v>
                </c:pt>
                <c:pt idx="2">
                  <c:v>9.3611384820061954</c:v>
                </c:pt>
                <c:pt idx="3">
                  <c:v>9.1529684699593652</c:v>
                </c:pt>
                <c:pt idx="4">
                  <c:v>8.9615527950098013</c:v>
                </c:pt>
                <c:pt idx="5">
                  <c:v>8.7839909705702528</c:v>
                </c:pt>
                <c:pt idx="6">
                  <c:v>8.6156307368648974</c:v>
                </c:pt>
                <c:pt idx="7">
                  <c:v>8.4565903775733844</c:v>
                </c:pt>
                <c:pt idx="8">
                  <c:v>8.3024713593952928</c:v>
                </c:pt>
                <c:pt idx="9">
                  <c:v>8.1533392439087731</c:v>
                </c:pt>
                <c:pt idx="10">
                  <c:v>8.0082657342042882</c:v>
                </c:pt>
                <c:pt idx="11">
                  <c:v>7.865084396817922</c:v>
                </c:pt>
                <c:pt idx="12">
                  <c:v>7.7249803142335383</c:v>
                </c:pt>
                <c:pt idx="13">
                  <c:v>7.5871301913090434</c:v>
                </c:pt>
                <c:pt idx="14">
                  <c:v>7.5248740296365977</c:v>
                </c:pt>
                <c:pt idx="15">
                  <c:v>7.7712030700529526</c:v>
                </c:pt>
                <c:pt idx="16">
                  <c:v>8.0344656038896307</c:v>
                </c:pt>
                <c:pt idx="17">
                  <c:v>8.3138119732154809</c:v>
                </c:pt>
                <c:pt idx="18">
                  <c:v>8.5839723138186947</c:v>
                </c:pt>
                <c:pt idx="19">
                  <c:v>8.8736787831954427</c:v>
                </c:pt>
              </c:numCache>
            </c:numRef>
          </c:val>
          <c:smooth val="0"/>
        </c:ser>
        <c:ser>
          <c:idx val="1"/>
          <c:order val="1"/>
          <c:tx>
            <c:v>Nominal twist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'JS sag'!$V$5:$V$24</c:f>
              <c:numCache>
                <c:formatCode>0.00</c:formatCode>
                <c:ptCount val="20"/>
                <c:pt idx="0">
                  <c:v>9.9529551683004005</c:v>
                </c:pt>
                <c:pt idx="1">
                  <c:v>9.9529551683004005</c:v>
                </c:pt>
                <c:pt idx="2">
                  <c:v>9.9529551683004005</c:v>
                </c:pt>
                <c:pt idx="3">
                  <c:v>9.9529551683004005</c:v>
                </c:pt>
                <c:pt idx="4">
                  <c:v>9.9529551683004005</c:v>
                </c:pt>
                <c:pt idx="5">
                  <c:v>9.9529551683004005</c:v>
                </c:pt>
                <c:pt idx="6">
                  <c:v>9.9529551683004005</c:v>
                </c:pt>
                <c:pt idx="7">
                  <c:v>9.9529551683004005</c:v>
                </c:pt>
                <c:pt idx="8">
                  <c:v>9.9529551683004005</c:v>
                </c:pt>
                <c:pt idx="9">
                  <c:v>9.9529551683004005</c:v>
                </c:pt>
                <c:pt idx="10">
                  <c:v>9.9529551683004005</c:v>
                </c:pt>
                <c:pt idx="11">
                  <c:v>9.9529551683004005</c:v>
                </c:pt>
                <c:pt idx="12">
                  <c:v>9.9529551683004005</c:v>
                </c:pt>
                <c:pt idx="13">
                  <c:v>9.9529551683004005</c:v>
                </c:pt>
                <c:pt idx="14">
                  <c:v>9.9529551683004005</c:v>
                </c:pt>
                <c:pt idx="15">
                  <c:v>9.9529551683004005</c:v>
                </c:pt>
                <c:pt idx="16">
                  <c:v>9.9529551683004005</c:v>
                </c:pt>
                <c:pt idx="17">
                  <c:v>9.9529551683004005</c:v>
                </c:pt>
                <c:pt idx="18">
                  <c:v>9.9529551683004005</c:v>
                </c:pt>
                <c:pt idx="19">
                  <c:v>9.9529551683004005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865320"/>
        <c:axId val="462866104"/>
      </c:lineChart>
      <c:catAx>
        <c:axId val="462865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Wind speed</a:t>
                </a:r>
              </a:p>
            </c:rich>
          </c:tx>
          <c:layout>
            <c:manualLayout>
              <c:xMode val="edge"/>
              <c:yMode val="edge"/>
              <c:x val="0.81280063500049604"/>
              <c:y val="0.902313624678663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866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2866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Mid-leech twist (deg)</a:t>
                </a:r>
              </a:p>
            </c:rich>
          </c:tx>
          <c:layout>
            <c:manualLayout>
              <c:xMode val="edge"/>
              <c:yMode val="edge"/>
              <c:x val="5.600004375003418E-2"/>
              <c:y val="4.62724935732647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865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24000800000625"/>
          <c:y val="0.70951156812339333"/>
          <c:w val="0.32320025250019724"/>
          <c:h val="6.16966580976863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Entry angle vs wind speed</a:t>
            </a:r>
          </a:p>
        </c:rich>
      </c:tx>
      <c:layout>
        <c:manualLayout>
          <c:xMode val="edge"/>
          <c:yMode val="edge"/>
          <c:x val="0.33546325878594252"/>
          <c:y val="3.2994964748280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249201277955275E-2"/>
          <c:y val="0.17766519479843501"/>
          <c:w val="0.8434504792332268"/>
          <c:h val="0.66751351759983446"/>
        </c:manualLayout>
      </c:layout>
      <c:lineChart>
        <c:grouping val="standard"/>
        <c:varyColors val="0"/>
        <c:ser>
          <c:idx val="0"/>
          <c:order val="0"/>
          <c:tx>
            <c:v>Jib entry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'JS sag'!$P$5:$P$24</c:f>
              <c:numCache>
                <c:formatCode>General</c:formatCode>
                <c:ptCount val="20"/>
                <c:pt idx="0">
                  <c:v>15.071100025609272</c:v>
                </c:pt>
                <c:pt idx="1">
                  <c:v>19.046093463330568</c:v>
                </c:pt>
                <c:pt idx="2">
                  <c:v>21.813366756015228</c:v>
                </c:pt>
                <c:pt idx="3">
                  <c:v>23.867064346022076</c:v>
                </c:pt>
                <c:pt idx="4">
                  <c:v>25.475593957162197</c:v>
                </c:pt>
                <c:pt idx="5">
                  <c:v>26.819453484300958</c:v>
                </c:pt>
                <c:pt idx="6">
                  <c:v>27.976317754422745</c:v>
                </c:pt>
                <c:pt idx="7">
                  <c:v>28.989332325343511</c:v>
                </c:pt>
                <c:pt idx="8">
                  <c:v>29.924793965708268</c:v>
                </c:pt>
                <c:pt idx="9">
                  <c:v>30.761258310400326</c:v>
                </c:pt>
                <c:pt idx="10">
                  <c:v>31.548778460887643</c:v>
                </c:pt>
                <c:pt idx="11">
                  <c:v>32.283610577960111</c:v>
                </c:pt>
                <c:pt idx="12">
                  <c:v>32.976599818408324</c:v>
                </c:pt>
                <c:pt idx="13">
                  <c:v>33.625552853339904</c:v>
                </c:pt>
                <c:pt idx="14">
                  <c:v>34.204216693139891</c:v>
                </c:pt>
                <c:pt idx="15">
                  <c:v>34.513908546112106</c:v>
                </c:pt>
                <c:pt idx="16">
                  <c:v>34.738046176188334</c:v>
                </c:pt>
                <c:pt idx="17">
                  <c:v>34.959141494722488</c:v>
                </c:pt>
                <c:pt idx="18">
                  <c:v>35.162419598124707</c:v>
                </c:pt>
                <c:pt idx="19">
                  <c:v>35.350533590540927</c:v>
                </c:pt>
              </c:numCache>
            </c:numRef>
          </c:val>
          <c:smooth val="0"/>
        </c:ser>
        <c:ser>
          <c:idx val="2"/>
          <c:order val="1"/>
          <c:tx>
            <c:v>Nominal entry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'JS sag'!$W$5:$W$24</c:f>
              <c:numCache>
                <c:formatCode>General</c:formatCode>
                <c:ptCount val="20"/>
                <c:pt idx="0">
                  <c:v>23.235938719613948</c:v>
                </c:pt>
                <c:pt idx="1">
                  <c:v>23.235938719613948</c:v>
                </c:pt>
                <c:pt idx="2">
                  <c:v>23.235938719613948</c:v>
                </c:pt>
                <c:pt idx="3">
                  <c:v>23.235938719613948</c:v>
                </c:pt>
                <c:pt idx="4">
                  <c:v>23.235938719613948</c:v>
                </c:pt>
                <c:pt idx="5">
                  <c:v>23.235938719613948</c:v>
                </c:pt>
                <c:pt idx="6">
                  <c:v>23.235938719613948</c:v>
                </c:pt>
                <c:pt idx="7">
                  <c:v>23.235938719613948</c:v>
                </c:pt>
                <c:pt idx="8">
                  <c:v>23.235938719613948</c:v>
                </c:pt>
                <c:pt idx="9">
                  <c:v>23.235938719613948</c:v>
                </c:pt>
                <c:pt idx="10">
                  <c:v>23.235938719613948</c:v>
                </c:pt>
                <c:pt idx="11">
                  <c:v>23.235938719613948</c:v>
                </c:pt>
                <c:pt idx="12">
                  <c:v>23.235938719613948</c:v>
                </c:pt>
                <c:pt idx="13">
                  <c:v>23.235938719613948</c:v>
                </c:pt>
                <c:pt idx="14">
                  <c:v>23.235938719613948</c:v>
                </c:pt>
                <c:pt idx="15">
                  <c:v>23.235938719613948</c:v>
                </c:pt>
                <c:pt idx="16">
                  <c:v>23.235938719613948</c:v>
                </c:pt>
                <c:pt idx="17">
                  <c:v>23.235938719613948</c:v>
                </c:pt>
                <c:pt idx="18">
                  <c:v>23.235938719613948</c:v>
                </c:pt>
                <c:pt idx="19">
                  <c:v>23.235938719613948</c:v>
                </c:pt>
              </c:numCache>
            </c:numRef>
          </c:val>
          <c:smooth val="0"/>
        </c:ser>
        <c:ser>
          <c:idx val="1"/>
          <c:order val="2"/>
          <c:tx>
            <c:v>Overall entry (jib+twist)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'JS sag'!$X$5:$X$24</c:f>
              <c:numCache>
                <c:formatCode>General</c:formatCode>
                <c:ptCount val="20"/>
                <c:pt idx="0">
                  <c:v>24.830176110750749</c:v>
                </c:pt>
                <c:pt idx="1">
                  <c:v>28.630463401021576</c:v>
                </c:pt>
                <c:pt idx="2">
                  <c:v>31.174505238021425</c:v>
                </c:pt>
                <c:pt idx="3">
                  <c:v>33.020032815981438</c:v>
                </c:pt>
                <c:pt idx="4">
                  <c:v>34.437146752171998</c:v>
                </c:pt>
                <c:pt idx="5">
                  <c:v>35.603444454871209</c:v>
                </c:pt>
                <c:pt idx="6">
                  <c:v>36.591948491287638</c:v>
                </c:pt>
                <c:pt idx="7">
                  <c:v>37.445922702916896</c:v>
                </c:pt>
                <c:pt idx="8">
                  <c:v>38.227265325103559</c:v>
                </c:pt>
                <c:pt idx="9">
                  <c:v>38.914597554309097</c:v>
                </c:pt>
                <c:pt idx="10">
                  <c:v>39.557044195091933</c:v>
                </c:pt>
                <c:pt idx="11">
                  <c:v>40.148694974778032</c:v>
                </c:pt>
                <c:pt idx="12">
                  <c:v>40.701580132641865</c:v>
                </c:pt>
                <c:pt idx="13">
                  <c:v>41.212683044648948</c:v>
                </c:pt>
                <c:pt idx="14">
                  <c:v>41.72909072277649</c:v>
                </c:pt>
                <c:pt idx="15">
                  <c:v>42.285111616165061</c:v>
                </c:pt>
                <c:pt idx="16">
                  <c:v>42.772511780077963</c:v>
                </c:pt>
                <c:pt idx="17">
                  <c:v>43.272953467937967</c:v>
                </c:pt>
                <c:pt idx="18">
                  <c:v>43.746391911943405</c:v>
                </c:pt>
                <c:pt idx="19">
                  <c:v>44.224212373736371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862968"/>
        <c:axId val="462853952"/>
      </c:lineChart>
      <c:catAx>
        <c:axId val="462862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Wind speed</a:t>
                </a:r>
              </a:p>
            </c:rich>
          </c:tx>
          <c:layout>
            <c:manualLayout>
              <c:xMode val="edge"/>
              <c:yMode val="edge"/>
              <c:x val="0.79872204472843455"/>
              <c:y val="0.931473235586080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853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285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Entry angle (deg)</a:t>
                </a:r>
              </a:p>
            </c:rich>
          </c:tx>
          <c:layout>
            <c:manualLayout>
              <c:xMode val="edge"/>
              <c:yMode val="edge"/>
              <c:x val="4.6325878594249199E-2"/>
              <c:y val="6.852800370796779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862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587859424920129"/>
          <c:y val="0.73350344709639603"/>
          <c:w val="0.597444089456869"/>
          <c:h val="6.09137810737491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27</xdr:row>
          <xdr:rowOff>38100</xdr:rowOff>
        </xdr:from>
        <xdr:to>
          <xdr:col>8</xdr:col>
          <xdr:colOff>66675</xdr:colOff>
          <xdr:row>28</xdr:row>
          <xdr:rowOff>85725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Pivot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31</xdr:row>
          <xdr:rowOff>66675</xdr:rowOff>
        </xdr:from>
        <xdr:to>
          <xdr:col>8</xdr:col>
          <xdr:colOff>66675</xdr:colOff>
          <xdr:row>32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Heel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29</xdr:row>
          <xdr:rowOff>47625</xdr:rowOff>
        </xdr:from>
        <xdr:to>
          <xdr:col>8</xdr:col>
          <xdr:colOff>76200</xdr:colOff>
          <xdr:row>30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Wind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876300</xdr:colOff>
          <xdr:row>31</xdr:row>
          <xdr:rowOff>95250</xdr:rowOff>
        </xdr:from>
        <xdr:to>
          <xdr:col>14</xdr:col>
          <xdr:colOff>304800</xdr:colOff>
          <xdr:row>32</xdr:row>
          <xdr:rowOff>123825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Do all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8</xdr:col>
      <xdr:colOff>647700</xdr:colOff>
      <xdr:row>24</xdr:row>
      <xdr:rowOff>104775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25</xdr:row>
      <xdr:rowOff>57150</xdr:rowOff>
    </xdr:from>
    <xdr:to>
      <xdr:col>8</xdr:col>
      <xdr:colOff>647700</xdr:colOff>
      <xdr:row>49</xdr:row>
      <xdr:rowOff>114300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76200</xdr:rowOff>
    </xdr:from>
    <xdr:to>
      <xdr:col>8</xdr:col>
      <xdr:colOff>619125</xdr:colOff>
      <xdr:row>24</xdr:row>
      <xdr:rowOff>104775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8</xdr:col>
      <xdr:colOff>561975</xdr:colOff>
      <xdr:row>24</xdr:row>
      <xdr:rowOff>104775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25</xdr:row>
      <xdr:rowOff>38100</xdr:rowOff>
    </xdr:from>
    <xdr:to>
      <xdr:col>8</xdr:col>
      <xdr:colOff>590550</xdr:colOff>
      <xdr:row>49</xdr:row>
      <xdr:rowOff>114300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8</xdr:col>
      <xdr:colOff>504825</xdr:colOff>
      <xdr:row>24</xdr:row>
      <xdr:rowOff>104775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25</xdr:row>
      <xdr:rowOff>19050</xdr:rowOff>
    </xdr:from>
    <xdr:to>
      <xdr:col>8</xdr:col>
      <xdr:colOff>514350</xdr:colOff>
      <xdr:row>49</xdr:row>
      <xdr:rowOff>114300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27</xdr:row>
          <xdr:rowOff>85725</xdr:rowOff>
        </xdr:from>
        <xdr:to>
          <xdr:col>0</xdr:col>
          <xdr:colOff>1485900</xdr:colOff>
          <xdr:row>28</xdr:row>
          <xdr:rowOff>133350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Sag vs Wind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31</xdr:row>
          <xdr:rowOff>66675</xdr:rowOff>
        </xdr:from>
        <xdr:to>
          <xdr:col>0</xdr:col>
          <xdr:colOff>1514475</xdr:colOff>
          <xdr:row>32</xdr:row>
          <xdr:rowOff>114300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Sag vs Pivot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35</xdr:row>
          <xdr:rowOff>66675</xdr:rowOff>
        </xdr:from>
        <xdr:to>
          <xdr:col>0</xdr:col>
          <xdr:colOff>1495425</xdr:colOff>
          <xdr:row>36</xdr:row>
          <xdr:rowOff>114300</xdr:rowOff>
        </xdr:to>
        <xdr:sp macro="" textlink="">
          <xdr:nvSpPr>
            <xdr:cNvPr id="6148" name="Butto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Leech twist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codeName="Sheet1"/>
  <dimension ref="A1:S60"/>
  <sheetViews>
    <sheetView showGridLines="0" tabSelected="1" workbookViewId="0">
      <selection activeCell="A7" sqref="A7"/>
    </sheetView>
  </sheetViews>
  <sheetFormatPr defaultColWidth="9.625" defaultRowHeight="12" x14ac:dyDescent="0.15"/>
  <cols>
    <col min="1" max="13" width="5.875" customWidth="1"/>
    <col min="14" max="14" width="18.625" customWidth="1"/>
    <col min="15" max="19" width="5.875" customWidth="1"/>
    <col min="20" max="20" width="1.875" customWidth="1"/>
    <col min="21" max="21" width="6.875" customWidth="1"/>
    <col min="22" max="22" width="6.125" customWidth="1"/>
    <col min="23" max="23" width="2.375" customWidth="1"/>
    <col min="24" max="24" width="6.125" customWidth="1"/>
  </cols>
  <sheetData>
    <row r="1" spans="1:19" x14ac:dyDescent="0.15">
      <c r="A1" s="7" t="s">
        <v>0</v>
      </c>
    </row>
    <row r="2" spans="1:19" x14ac:dyDescent="0.15">
      <c r="A2" s="7"/>
      <c r="O2" t="s">
        <v>1</v>
      </c>
    </row>
    <row r="3" spans="1:19" x14ac:dyDescent="0.15">
      <c r="A3" t="s">
        <v>2</v>
      </c>
      <c r="M3" s="22" t="s">
        <v>3</v>
      </c>
      <c r="O3" t="s">
        <v>4</v>
      </c>
    </row>
    <row r="4" spans="1:19" x14ac:dyDescent="0.15">
      <c r="A4" t="s">
        <v>5</v>
      </c>
      <c r="M4" s="22" t="s">
        <v>6</v>
      </c>
      <c r="O4" t="s">
        <v>7</v>
      </c>
    </row>
    <row r="5" spans="1:19" x14ac:dyDescent="0.15">
      <c r="A5" t="s">
        <v>8</v>
      </c>
      <c r="M5" s="22" t="s">
        <v>9</v>
      </c>
      <c r="O5" t="s">
        <v>10</v>
      </c>
    </row>
    <row r="6" spans="1:19" x14ac:dyDescent="0.15">
      <c r="M6" s="22" t="s">
        <v>11</v>
      </c>
      <c r="O6" t="s">
        <v>12</v>
      </c>
    </row>
    <row r="7" spans="1:19" ht="12.75" thickBot="1" x14ac:dyDescent="0.2">
      <c r="A7" s="21">
        <v>1</v>
      </c>
      <c r="B7" s="1"/>
      <c r="C7" t="s">
        <v>13</v>
      </c>
      <c r="H7" s="9">
        <f>90-ATAN(ShOffset/(HLOOKUP(RigNumber,DefaultTable,21)/2))*180/PI()</f>
        <v>90</v>
      </c>
      <c r="I7" t="s">
        <v>14</v>
      </c>
      <c r="J7" t="s">
        <v>15</v>
      </c>
    </row>
    <row r="8" spans="1:19" ht="12.75" thickBot="1" x14ac:dyDescent="0.2">
      <c r="A8" s="43">
        <f>HLOOKUP(RigNumber,DefaultTable,2)</f>
        <v>1680</v>
      </c>
      <c r="B8" s="1" t="s">
        <v>16</v>
      </c>
      <c r="C8" t="s">
        <v>17</v>
      </c>
      <c r="H8" s="44">
        <f>HLOOKUP(RigNumber,DefaultTable,6)</f>
        <v>2.6909776041774309</v>
      </c>
      <c r="I8" t="s">
        <v>18</v>
      </c>
      <c r="J8" t="s">
        <v>19</v>
      </c>
      <c r="M8" s="67" t="s">
        <v>20</v>
      </c>
      <c r="N8" s="68"/>
      <c r="O8" s="68"/>
      <c r="P8" s="68"/>
      <c r="Q8" s="68"/>
      <c r="R8" s="68"/>
      <c r="S8" s="69"/>
    </row>
    <row r="9" spans="1:19" x14ac:dyDescent="0.15">
      <c r="A9" s="17">
        <v>500</v>
      </c>
      <c r="B9" s="1" t="s">
        <v>16</v>
      </c>
      <c r="C9" t="s">
        <v>21</v>
      </c>
      <c r="H9">
        <f>0.0012</f>
        <v>1.1999999999999999E-3</v>
      </c>
      <c r="J9" t="s">
        <v>22</v>
      </c>
      <c r="M9" s="35"/>
      <c r="N9" s="55"/>
      <c r="O9" s="56" t="s">
        <v>23</v>
      </c>
      <c r="P9" s="56"/>
      <c r="Q9" s="56"/>
      <c r="R9" s="55"/>
      <c r="S9" s="36"/>
    </row>
    <row r="10" spans="1:19" x14ac:dyDescent="0.15">
      <c r="A10" s="5">
        <f>ATAN(BsBase/BsHt)*180/PI()</f>
        <v>16.574007756908987</v>
      </c>
      <c r="B10" s="1" t="s">
        <v>14</v>
      </c>
      <c r="C10" t="s">
        <v>24</v>
      </c>
      <c r="H10" s="16">
        <v>1</v>
      </c>
      <c r="J10" t="s">
        <v>25</v>
      </c>
      <c r="M10" s="37">
        <v>1</v>
      </c>
      <c r="N10" s="39"/>
      <c r="O10" s="61">
        <v>1</v>
      </c>
      <c r="P10" s="61">
        <v>2</v>
      </c>
      <c r="Q10" s="61">
        <v>3</v>
      </c>
      <c r="R10" s="39"/>
      <c r="S10" s="38"/>
    </row>
    <row r="11" spans="1:19" x14ac:dyDescent="0.15">
      <c r="A11" s="6">
        <v>3.5</v>
      </c>
      <c r="B11" s="1" t="s">
        <v>26</v>
      </c>
      <c r="C11" t="s">
        <v>27</v>
      </c>
      <c r="H11" s="16">
        <v>0.4</v>
      </c>
      <c r="J11" t="s">
        <v>28</v>
      </c>
      <c r="M11" s="37">
        <v>2</v>
      </c>
      <c r="N11" s="39" t="s">
        <v>29</v>
      </c>
      <c r="O11" s="39">
        <v>1680</v>
      </c>
      <c r="P11" s="39">
        <v>1260</v>
      </c>
      <c r="Q11" s="39">
        <v>960</v>
      </c>
      <c r="R11" s="39"/>
      <c r="S11" s="38" t="s">
        <v>16</v>
      </c>
    </row>
    <row r="12" spans="1:19" x14ac:dyDescent="0.15">
      <c r="A12" s="5">
        <f>SIN(BsAngle*PI()/180)*BsTens</f>
        <v>0.9983875817096628</v>
      </c>
      <c r="B12" s="1" t="s">
        <v>26</v>
      </c>
      <c r="C12" t="s">
        <v>30</v>
      </c>
      <c r="H12" s="13">
        <v>20</v>
      </c>
      <c r="I12" t="s">
        <v>31</v>
      </c>
      <c r="J12" t="s">
        <v>32</v>
      </c>
      <c r="M12" s="37">
        <v>3</v>
      </c>
      <c r="N12" s="39" t="s">
        <v>33</v>
      </c>
      <c r="O12" s="39">
        <v>220</v>
      </c>
      <c r="P12" s="39">
        <v>160</v>
      </c>
      <c r="Q12" s="39">
        <v>120</v>
      </c>
      <c r="R12" s="39"/>
      <c r="S12" s="38" t="s">
        <v>16</v>
      </c>
    </row>
    <row r="13" spans="1:19" x14ac:dyDescent="0.15">
      <c r="A13" s="5">
        <f>COS(BsAngle*PI()/180)*BsTens</f>
        <v>3.3545822745444673</v>
      </c>
      <c r="B13" s="1" t="s">
        <v>26</v>
      </c>
      <c r="C13" t="s">
        <v>34</v>
      </c>
      <c r="H13" s="13">
        <v>30</v>
      </c>
      <c r="I13" t="s">
        <v>14</v>
      </c>
      <c r="J13" t="s">
        <v>35</v>
      </c>
      <c r="M13" s="37">
        <v>4</v>
      </c>
      <c r="N13" s="39" t="s">
        <v>36</v>
      </c>
      <c r="O13" s="58">
        <v>1160</v>
      </c>
      <c r="P13" s="58">
        <v>900</v>
      </c>
      <c r="Q13" s="58">
        <v>740</v>
      </c>
      <c r="R13" s="39"/>
      <c r="S13" s="38" t="s">
        <v>16</v>
      </c>
    </row>
    <row r="14" spans="1:19" x14ac:dyDescent="0.15">
      <c r="A14" s="43">
        <f>HLOOKUP(RigNumber,DefaultTable,3)</f>
        <v>220</v>
      </c>
      <c r="B14" s="1" t="s">
        <v>16</v>
      </c>
      <c r="C14" t="s">
        <v>37</v>
      </c>
      <c r="H14" s="23">
        <f>JibArea*Density*CoefLift*WindSpeed*WindSpeed</f>
        <v>1.291669250005167</v>
      </c>
      <c r="I14" t="s">
        <v>26</v>
      </c>
      <c r="J14" t="s">
        <v>38</v>
      </c>
      <c r="M14" s="37">
        <v>5</v>
      </c>
      <c r="N14" s="39" t="s">
        <v>39</v>
      </c>
      <c r="O14" s="39">
        <v>385</v>
      </c>
      <c r="P14" s="39">
        <v>350</v>
      </c>
      <c r="Q14" s="39">
        <v>305</v>
      </c>
      <c r="R14" s="39"/>
      <c r="S14" s="38" t="s">
        <v>16</v>
      </c>
    </row>
    <row r="15" spans="1:19" x14ac:dyDescent="0.15">
      <c r="A15" s="18">
        <f>BsHt-HoundsHt</f>
        <v>1460</v>
      </c>
      <c r="B15" s="1" t="s">
        <v>16</v>
      </c>
      <c r="C15" t="s">
        <v>40</v>
      </c>
      <c r="H15" s="23">
        <f>JibArea*Density*CoefDrag*WindSpeed*WindSpeed</f>
        <v>0.51666770000206674</v>
      </c>
      <c r="I15" t="s">
        <v>26</v>
      </c>
      <c r="J15" t="s">
        <v>41</v>
      </c>
      <c r="M15" s="37">
        <v>6</v>
      </c>
      <c r="N15" s="39" t="s">
        <v>19</v>
      </c>
      <c r="O15" s="57">
        <f>2500/(25.4*25.4*1.2*1.2)</f>
        <v>2.6909776041774309</v>
      </c>
      <c r="P15" s="57">
        <f>1650/(25.4*25.4*1.2*1.2)</f>
        <v>1.7760452187571045</v>
      </c>
      <c r="Q15" s="57">
        <f>1050/(25.4*25.4*1.2*1.2)</f>
        <v>1.130210593754521</v>
      </c>
      <c r="R15" s="39"/>
      <c r="S15" s="38" t="s">
        <v>18</v>
      </c>
    </row>
    <row r="16" spans="1:19" x14ac:dyDescent="0.15">
      <c r="A16" s="43">
        <f>HLOOKUP(RigNumber,DefaultTable,4)</f>
        <v>1160</v>
      </c>
      <c r="B16" s="1" t="s">
        <v>16</v>
      </c>
      <c r="C16" t="s">
        <v>42</v>
      </c>
      <c r="H16" s="23">
        <f>JibLift*COS(AppWindAngle*PI()/180)+JibDrag*SIN(AppWindAngle*PI()/180)</f>
        <v>1.3769522337927012</v>
      </c>
      <c r="I16" t="s">
        <v>26</v>
      </c>
      <c r="J16" t="s">
        <v>43</v>
      </c>
      <c r="M16" s="37">
        <v>7</v>
      </c>
      <c r="N16" s="39" t="s">
        <v>44</v>
      </c>
      <c r="O16" s="39">
        <v>2.2999999999999998</v>
      </c>
      <c r="P16" s="39">
        <v>2</v>
      </c>
      <c r="Q16" s="39">
        <v>1.8</v>
      </c>
      <c r="R16" s="39"/>
      <c r="S16" s="38" t="s">
        <v>45</v>
      </c>
    </row>
    <row r="17" spans="1:19" x14ac:dyDescent="0.15">
      <c r="A17" s="19">
        <v>0</v>
      </c>
      <c r="B17" s="1" t="s">
        <v>16</v>
      </c>
      <c r="C17" t="s">
        <v>46</v>
      </c>
      <c r="H17" s="15">
        <f>JibLift*SIN(AppWindAngle*PI()/180)-JibDrag*COS(AppWindAngle*PI()/180)</f>
        <v>0.19838727148591628</v>
      </c>
      <c r="I17" t="s">
        <v>26</v>
      </c>
      <c r="J17" t="s">
        <v>47</v>
      </c>
      <c r="M17" s="37">
        <v>8</v>
      </c>
      <c r="N17" s="39" t="s">
        <v>48</v>
      </c>
      <c r="O17" s="39">
        <v>1420</v>
      </c>
      <c r="P17" s="39">
        <v>1080</v>
      </c>
      <c r="Q17" s="39">
        <v>840</v>
      </c>
      <c r="R17" s="39"/>
      <c r="S17" s="38" t="s">
        <v>16</v>
      </c>
    </row>
    <row r="18" spans="1:19" x14ac:dyDescent="0.15">
      <c r="A18" s="5">
        <f>ATAN(ShOffset/ShHt)*180/PI()</f>
        <v>0</v>
      </c>
      <c r="B18" s="1" t="s">
        <v>14</v>
      </c>
      <c r="C18" t="s">
        <v>49</v>
      </c>
      <c r="H18" s="23">
        <f>SQRT(JibLift*JibLift+JibDrag+JibDrag)</f>
        <v>1.6436985281410468</v>
      </c>
      <c r="I18" t="s">
        <v>26</v>
      </c>
      <c r="J18" t="s">
        <v>50</v>
      </c>
      <c r="M18" s="37">
        <v>9</v>
      </c>
      <c r="N18" s="39" t="s">
        <v>51</v>
      </c>
      <c r="O18" s="39">
        <v>1</v>
      </c>
      <c r="P18" s="39">
        <v>8</v>
      </c>
      <c r="Q18" s="39">
        <v>15</v>
      </c>
      <c r="R18" s="39"/>
      <c r="S18" s="38" t="s">
        <v>31</v>
      </c>
    </row>
    <row r="19" spans="1:19" x14ac:dyDescent="0.15">
      <c r="A19" s="6">
        <v>8</v>
      </c>
      <c r="B19" s="1" t="s">
        <v>26</v>
      </c>
      <c r="C19" t="s">
        <v>52</v>
      </c>
      <c r="H19" s="16">
        <v>5.5</v>
      </c>
      <c r="I19" t="s">
        <v>26</v>
      </c>
      <c r="J19" t="s">
        <v>53</v>
      </c>
      <c r="M19" s="37">
        <v>10</v>
      </c>
      <c r="N19" s="39" t="s">
        <v>54</v>
      </c>
      <c r="O19" s="39">
        <v>50</v>
      </c>
      <c r="P19" s="39">
        <v>40</v>
      </c>
      <c r="Q19" s="39">
        <v>30</v>
      </c>
      <c r="R19" s="39"/>
      <c r="S19" s="38" t="s">
        <v>16</v>
      </c>
    </row>
    <row r="20" spans="1:19" x14ac:dyDescent="0.15">
      <c r="A20" s="28">
        <f>180*ATAN(HLOOKUP(RigNumber,DefaultTable,21)/(2*ShHt))/PI()</f>
        <v>6.8817236306369498</v>
      </c>
      <c r="B20" s="1" t="s">
        <v>14</v>
      </c>
      <c r="C20" t="s">
        <v>55</v>
      </c>
      <c r="H20" s="16">
        <v>1.3</v>
      </c>
      <c r="I20" t="s">
        <v>45</v>
      </c>
      <c r="J20" t="s">
        <v>56</v>
      </c>
      <c r="M20" s="37">
        <v>11</v>
      </c>
      <c r="N20" s="39" t="s">
        <v>57</v>
      </c>
      <c r="O20" s="58">
        <v>72.5</v>
      </c>
      <c r="P20" s="58">
        <v>62.5</v>
      </c>
      <c r="Q20" s="58">
        <v>55</v>
      </c>
      <c r="R20" s="39"/>
      <c r="S20" s="38" t="s">
        <v>16</v>
      </c>
    </row>
    <row r="21" spans="1:19" x14ac:dyDescent="0.15">
      <c r="A21" s="5">
        <f>SIN(ShAngle*PI()/180)*2*ShTens*COS(PI()*ShBaseAngle/180)</f>
        <v>0</v>
      </c>
      <c r="B21" s="1" t="s">
        <v>26</v>
      </c>
      <c r="C21" t="s">
        <v>58</v>
      </c>
      <c r="H21" s="23">
        <f>HLOOKUP(RigNumber,DefaultTable,7)</f>
        <v>2.2999999999999998</v>
      </c>
      <c r="I21" t="s">
        <v>45</v>
      </c>
      <c r="J21" t="s">
        <v>59</v>
      </c>
      <c r="M21" s="37">
        <v>12</v>
      </c>
      <c r="N21" s="39" t="s">
        <v>60</v>
      </c>
      <c r="O21" s="58">
        <v>14.5</v>
      </c>
      <c r="P21" s="58">
        <v>18.5</v>
      </c>
      <c r="Q21" s="58">
        <v>25</v>
      </c>
      <c r="R21" s="39"/>
      <c r="S21" s="38" t="s">
        <v>31</v>
      </c>
    </row>
    <row r="22" spans="1:19" x14ac:dyDescent="0.15">
      <c r="A22" s="5">
        <f>COS(ShAngle*PI()/180)*2*ShTens*COS(PI()*ShBaseAngle/180)</f>
        <v>15.884729808159479</v>
      </c>
      <c r="B22" s="1" t="s">
        <v>26</v>
      </c>
      <c r="C22" t="s">
        <v>61</v>
      </c>
      <c r="H22" s="48">
        <f>HLOOKUP(RigNumber,DefaultTable,15)</f>
        <v>0.45833333333333331</v>
      </c>
      <c r="J22" t="s">
        <v>62</v>
      </c>
      <c r="M22" s="37">
        <v>13</v>
      </c>
      <c r="N22" s="39" t="s">
        <v>63</v>
      </c>
      <c r="O22" s="57">
        <f>3500/(25.4*25.4*1.2*1.2)</f>
        <v>3.7673686458484035</v>
      </c>
      <c r="P22" s="57">
        <f>2500/(25.4*25.4*1.2*1.2)</f>
        <v>2.6909776041774309</v>
      </c>
      <c r="Q22" s="57">
        <f>1500/(25.4*25.4*1.2*1.2)</f>
        <v>1.6145865625064586</v>
      </c>
      <c r="R22" s="39"/>
      <c r="S22" s="38" t="s">
        <v>18</v>
      </c>
    </row>
    <row r="23" spans="1:19" x14ac:dyDescent="0.15">
      <c r="A23" s="5">
        <f>ShTensHoriz*(ShHt)/(JibHt)</f>
        <v>0</v>
      </c>
      <c r="B23" s="1" t="s">
        <v>26</v>
      </c>
      <c r="C23" t="s">
        <v>64</v>
      </c>
      <c r="H23">
        <f>((SailCE*JibSide)/JibContrib)/(BulbWt*Draught)</f>
        <v>0.96640512784942278</v>
      </c>
      <c r="J23" t="s">
        <v>65</v>
      </c>
      <c r="M23" s="37">
        <v>14</v>
      </c>
      <c r="N23" s="39" t="s">
        <v>66</v>
      </c>
      <c r="O23" s="59">
        <f>O15/(O15+O22)</f>
        <v>0.41666666666666663</v>
      </c>
      <c r="P23" s="59">
        <f>P15/(P15+P22)</f>
        <v>0.39759036144578314</v>
      </c>
      <c r="Q23" s="59">
        <f>Q15/(Q15+Q22)</f>
        <v>0.41176470588235298</v>
      </c>
      <c r="R23" s="39"/>
      <c r="S23" s="38"/>
    </row>
    <row r="24" spans="1:19" x14ac:dyDescent="0.15">
      <c r="A24" s="5">
        <f>BsTensHoriz*BsHt/(JibHt)</f>
        <v>1.1488295460768723</v>
      </c>
      <c r="B24" s="1" t="s">
        <v>26</v>
      </c>
      <c r="C24" t="s">
        <v>67</v>
      </c>
      <c r="H24" s="49" t="e">
        <f>IF(SinHeel&gt;0.7,NA(),ASIN(SinHeel)*180/PI())</f>
        <v>#N/A</v>
      </c>
      <c r="I24" t="s">
        <v>14</v>
      </c>
      <c r="J24" t="s">
        <v>68</v>
      </c>
      <c r="M24" s="37">
        <v>15</v>
      </c>
      <c r="N24" s="39" t="s">
        <v>69</v>
      </c>
      <c r="O24" s="59">
        <f>O23*(1+JibContribFactor)</f>
        <v>0.45833333333333331</v>
      </c>
      <c r="P24" s="59">
        <f>P23*(1+JibContribFactor)</f>
        <v>0.43734939759036151</v>
      </c>
      <c r="Q24" s="59">
        <f>Q23*(1+JibContribFactor)</f>
        <v>0.45294117647058829</v>
      </c>
      <c r="R24" s="39"/>
      <c r="S24" s="38"/>
    </row>
    <row r="25" spans="1:19" x14ac:dyDescent="0.15">
      <c r="A25" s="43">
        <f>HLOOKUP(RigNumber,DefaultTable,5)</f>
        <v>385</v>
      </c>
      <c r="B25" s="1" t="s">
        <v>16</v>
      </c>
      <c r="C25" t="s">
        <v>70</v>
      </c>
      <c r="H25" s="20">
        <v>0.1</v>
      </c>
      <c r="J25" t="s">
        <v>71</v>
      </c>
      <c r="M25" s="37">
        <v>16</v>
      </c>
      <c r="N25" s="39" t="s">
        <v>72</v>
      </c>
      <c r="O25" s="58">
        <v>20000</v>
      </c>
      <c r="P25" s="58">
        <v>20000</v>
      </c>
      <c r="Q25" s="58">
        <v>20000</v>
      </c>
      <c r="R25" s="39"/>
      <c r="S25" s="38"/>
    </row>
    <row r="26" spans="1:19" x14ac:dyDescent="0.15">
      <c r="A26" s="77">
        <v>72.5</v>
      </c>
      <c r="B26" s="1" t="s">
        <v>16</v>
      </c>
      <c r="C26" t="s">
        <v>73</v>
      </c>
      <c r="M26" s="37">
        <v>17</v>
      </c>
      <c r="N26" s="39" t="s">
        <v>74</v>
      </c>
      <c r="O26" s="39">
        <v>1250</v>
      </c>
      <c r="P26" s="39">
        <v>910</v>
      </c>
      <c r="Q26" s="39">
        <v>660</v>
      </c>
      <c r="R26" s="39"/>
      <c r="S26" s="38" t="s">
        <v>16</v>
      </c>
    </row>
    <row r="27" spans="1:19" x14ac:dyDescent="0.15">
      <c r="A27" s="18">
        <f>JibBoom-PivotOffset</f>
        <v>312.5</v>
      </c>
      <c r="B27" s="1" t="s">
        <v>16</v>
      </c>
      <c r="C27" t="s">
        <v>75</v>
      </c>
      <c r="M27" s="37">
        <v>18</v>
      </c>
      <c r="N27" s="39" t="s">
        <v>76</v>
      </c>
      <c r="O27" s="58">
        <v>35</v>
      </c>
      <c r="P27" s="58">
        <v>31</v>
      </c>
      <c r="Q27" s="58">
        <v>28</v>
      </c>
      <c r="R27" s="39"/>
      <c r="S27" s="38" t="s">
        <v>16</v>
      </c>
    </row>
    <row r="28" spans="1:19" x14ac:dyDescent="0.15">
      <c r="A28" s="5">
        <f>ATAN(JibBase/JibHt)*180/PI()</f>
        <v>12.081356123096</v>
      </c>
      <c r="B28" s="1" t="s">
        <v>14</v>
      </c>
      <c r="C28" t="s">
        <v>77</v>
      </c>
      <c r="J28" s="2" t="s">
        <v>78</v>
      </c>
      <c r="M28" s="74">
        <v>19</v>
      </c>
      <c r="N28" s="75" t="s">
        <v>79</v>
      </c>
      <c r="O28" s="76">
        <v>0.08</v>
      </c>
      <c r="P28" s="76">
        <v>7.0000000000000007E-2</v>
      </c>
      <c r="Q28" s="76">
        <v>0.06</v>
      </c>
      <c r="R28" s="39"/>
      <c r="S28" s="38"/>
    </row>
    <row r="29" spans="1:19" x14ac:dyDescent="0.15">
      <c r="A29" s="5">
        <f>(HoundsShHoriz+HoundsBsHoriz)/SIN(JibAngle*PI()/180)</f>
        <v>5.4889031920649032</v>
      </c>
      <c r="B29" s="1" t="s">
        <v>26</v>
      </c>
      <c r="C29" t="s">
        <v>80</v>
      </c>
      <c r="J29" s="27">
        <f>HLOOKUP(RigNumber,DefaultTable,12)</f>
        <v>14.5</v>
      </c>
      <c r="K29" t="s">
        <v>81</v>
      </c>
      <c r="M29" s="74">
        <v>20</v>
      </c>
      <c r="N29" s="75" t="s">
        <v>82</v>
      </c>
      <c r="O29" s="58">
        <v>3</v>
      </c>
      <c r="P29" s="58">
        <v>2</v>
      </c>
      <c r="Q29" s="58">
        <v>1</v>
      </c>
      <c r="R29" s="39"/>
      <c r="S29" s="38" t="s">
        <v>16</v>
      </c>
    </row>
    <row r="30" spans="1:19" x14ac:dyDescent="0.15">
      <c r="A30" s="5">
        <f>COS(JibAngle*PI()/180)*JibTensHoriz</f>
        <v>5.3673316392711463</v>
      </c>
      <c r="B30" s="1" t="s">
        <v>26</v>
      </c>
      <c r="C30" t="s">
        <v>83</v>
      </c>
      <c r="J30" t="s">
        <v>84</v>
      </c>
      <c r="M30" s="74">
        <v>21</v>
      </c>
      <c r="N30" s="75" t="s">
        <v>85</v>
      </c>
      <c r="O30" s="58">
        <v>280</v>
      </c>
      <c r="P30" s="58">
        <v>280</v>
      </c>
      <c r="Q30" s="58">
        <v>280</v>
      </c>
      <c r="R30" s="39"/>
      <c r="S30" s="81" t="s">
        <v>16</v>
      </c>
    </row>
    <row r="31" spans="1:19" ht="12.75" thickBot="1" x14ac:dyDescent="0.2">
      <c r="A31" s="9">
        <f>JibTensHoriz*JibBase/JibBoom</f>
        <v>4.4552785649877462</v>
      </c>
      <c r="B31" s="1" t="s">
        <v>26</v>
      </c>
      <c r="C31" t="s">
        <v>86</v>
      </c>
      <c r="J31">
        <f>HLOOKUP(RigNumber,DefaultTable,11)</f>
        <v>72.5</v>
      </c>
      <c r="K31" t="s">
        <v>87</v>
      </c>
      <c r="M31" s="71">
        <v>22</v>
      </c>
      <c r="N31" s="72" t="s">
        <v>88</v>
      </c>
      <c r="O31" s="83">
        <v>0.4</v>
      </c>
      <c r="P31" s="83">
        <v>0.4</v>
      </c>
      <c r="Q31" s="83">
        <v>0.4</v>
      </c>
      <c r="R31" s="40"/>
      <c r="S31" s="82"/>
    </row>
    <row r="32" spans="1:19" x14ac:dyDescent="0.15">
      <c r="A32" s="9">
        <f>JibTensHoriz*PivotOffset/JibBoom</f>
        <v>1.033624627077157</v>
      </c>
      <c r="B32" s="1" t="s">
        <v>26</v>
      </c>
      <c r="C32" t="s">
        <v>89</v>
      </c>
      <c r="J32" s="2" t="s">
        <v>90</v>
      </c>
      <c r="Q32" s="24" t="s">
        <v>91</v>
      </c>
    </row>
    <row r="33" spans="1:19" x14ac:dyDescent="0.15">
      <c r="A33" s="9">
        <f>JibTensVert+ShTensVert+BsTensVert</f>
        <v>24.606643721975093</v>
      </c>
      <c r="B33" s="1" t="s">
        <v>26</v>
      </c>
      <c r="C33" t="s">
        <v>92</v>
      </c>
      <c r="J33">
        <f>DefaultPivotOffset</f>
        <v>72.5</v>
      </c>
      <c r="K33" t="s">
        <v>87</v>
      </c>
      <c r="Q33" s="24" t="s">
        <v>93</v>
      </c>
    </row>
    <row r="34" spans="1:19" x14ac:dyDescent="0.15">
      <c r="A34" s="2"/>
      <c r="C34" s="1" t="s">
        <v>94</v>
      </c>
    </row>
    <row r="35" spans="1:19" x14ac:dyDescent="0.15">
      <c r="A35" s="2"/>
      <c r="C35" s="1"/>
    </row>
    <row r="36" spans="1:19" x14ac:dyDescent="0.15">
      <c r="B36" s="1"/>
      <c r="C36" s="1"/>
      <c r="R36" s="24"/>
      <c r="S36" s="24"/>
    </row>
    <row r="37" spans="1:19" x14ac:dyDescent="0.15">
      <c r="B37" s="4"/>
      <c r="C37" s="4"/>
      <c r="E37" s="3"/>
      <c r="G37" s="7"/>
      <c r="H37" s="7"/>
      <c r="I37" s="7"/>
      <c r="J37" s="7"/>
      <c r="R37" s="24"/>
      <c r="S37" s="24"/>
    </row>
    <row r="38" spans="1:19" x14ac:dyDescent="0.15">
      <c r="B38" s="1"/>
      <c r="C38" s="1"/>
      <c r="D38" s="25" t="s">
        <v>95</v>
      </c>
      <c r="E38" s="25"/>
      <c r="F38" s="24"/>
      <c r="G38" s="24"/>
      <c r="L38" t="s">
        <v>96</v>
      </c>
    </row>
    <row r="39" spans="1:19" x14ac:dyDescent="0.15">
      <c r="A39" s="2"/>
      <c r="B39" s="8" t="s">
        <v>73</v>
      </c>
      <c r="D39" s="8" t="s">
        <v>9</v>
      </c>
      <c r="E39" s="8" t="s">
        <v>6</v>
      </c>
      <c r="F39" s="22"/>
      <c r="G39" s="22"/>
      <c r="M39" s="31" t="s">
        <v>97</v>
      </c>
      <c r="N39" s="31" t="s">
        <v>98</v>
      </c>
      <c r="O39" s="22" t="s">
        <v>9</v>
      </c>
      <c r="P39" s="22" t="s">
        <v>6</v>
      </c>
      <c r="S39" s="46"/>
    </row>
    <row r="40" spans="1:19" x14ac:dyDescent="0.15">
      <c r="D40" s="29">
        <f>RevTlTens</f>
        <v>0</v>
      </c>
      <c r="E40" s="30">
        <f>RevJsTens</f>
        <v>15.310639205000887</v>
      </c>
      <c r="F40" s="15"/>
      <c r="G40" s="15"/>
      <c r="K40" s="15"/>
      <c r="M40" s="32">
        <f>WindSpeed</f>
        <v>20</v>
      </c>
      <c r="N40" s="33" t="e">
        <f>H24</f>
        <v>#N/A</v>
      </c>
      <c r="O40" s="42">
        <f>RevTlTens</f>
        <v>0</v>
      </c>
      <c r="P40" s="32">
        <f>RevJsTens</f>
        <v>15.310639205000887</v>
      </c>
    </row>
    <row r="41" spans="1:19" x14ac:dyDescent="0.15">
      <c r="A41" s="13">
        <v>5</v>
      </c>
      <c r="B41" s="45">
        <f>HLOOKUP(RigNumber,DefaultTable,10)</f>
        <v>50</v>
      </c>
      <c r="D41" s="26">
        <v>0</v>
      </c>
      <c r="E41" s="10">
        <v>12.165648979781514</v>
      </c>
      <c r="F41" s="15"/>
      <c r="G41" s="15"/>
      <c r="L41" s="13">
        <v>1</v>
      </c>
      <c r="M41" s="12">
        <f>HLOOKUP(RigNumber,DefaultTable,9)</f>
        <v>1</v>
      </c>
      <c r="N41" s="28">
        <v>0.13842747248373496</v>
      </c>
      <c r="O41" s="15">
        <v>0.98269559744687984</v>
      </c>
      <c r="P41" s="15">
        <v>4.4901129463658869</v>
      </c>
      <c r="Q41">
        <v>30</v>
      </c>
    </row>
    <row r="42" spans="1:19" x14ac:dyDescent="0.15">
      <c r="A42" t="s">
        <v>99</v>
      </c>
      <c r="B42" s="14">
        <f>B41+PivotIncrem</f>
        <v>55</v>
      </c>
      <c r="D42" s="26">
        <v>0</v>
      </c>
      <c r="E42" s="10">
        <v>11.719504398312063</v>
      </c>
      <c r="F42" s="15"/>
      <c r="G42" s="15"/>
      <c r="L42" t="s">
        <v>97</v>
      </c>
      <c r="M42" s="12">
        <f>M41+WindIncrem</f>
        <v>2</v>
      </c>
      <c r="N42" s="28">
        <v>0.55371797046274696</v>
      </c>
      <c r="O42" s="15">
        <v>0.93115416818688834</v>
      </c>
      <c r="P42" s="15">
        <v>4.6981465079888407</v>
      </c>
      <c r="Q42">
        <v>30</v>
      </c>
    </row>
    <row r="43" spans="1:19" x14ac:dyDescent="0.15">
      <c r="A43" t="s">
        <v>100</v>
      </c>
      <c r="B43" s="14">
        <f t="shared" ref="B43:B56" si="0">B42+PivotIncrem</f>
        <v>60</v>
      </c>
      <c r="D43" s="26">
        <v>0</v>
      </c>
      <c r="E43" s="10">
        <v>11.319167099699358</v>
      </c>
      <c r="F43" s="15"/>
      <c r="G43" s="15"/>
      <c r="L43" t="s">
        <v>100</v>
      </c>
      <c r="M43" s="12">
        <f t="shared" ref="M43:M60" si="1">M42+WindIncrem</f>
        <v>3</v>
      </c>
      <c r="N43" s="28">
        <v>1.2459442352478163</v>
      </c>
      <c r="O43" s="15">
        <v>0.87840001954063018</v>
      </c>
      <c r="P43" s="15">
        <v>5.0237562067499288</v>
      </c>
      <c r="Q43">
        <v>30</v>
      </c>
    </row>
    <row r="44" spans="1:19" x14ac:dyDescent="0.15">
      <c r="B44" s="14">
        <f t="shared" si="0"/>
        <v>65</v>
      </c>
      <c r="D44" s="26">
        <v>0</v>
      </c>
      <c r="E44" s="10">
        <v>10.989955213111829</v>
      </c>
      <c r="F44" s="15"/>
      <c r="G44" s="15"/>
      <c r="M44" s="12">
        <f t="shared" si="1"/>
        <v>4</v>
      </c>
      <c r="N44" s="28">
        <v>2.215389382338476</v>
      </c>
      <c r="O44" s="15">
        <v>0.82385601378522622</v>
      </c>
      <c r="P44" s="15">
        <v>5.3997218564174485</v>
      </c>
      <c r="Q44">
        <v>30</v>
      </c>
    </row>
    <row r="45" spans="1:19" x14ac:dyDescent="0.15">
      <c r="B45" s="14">
        <f t="shared" si="0"/>
        <v>70</v>
      </c>
      <c r="D45" s="15">
        <v>0</v>
      </c>
      <c r="E45" s="10">
        <v>10.699229930090013</v>
      </c>
      <c r="F45" s="15"/>
      <c r="G45" s="15"/>
      <c r="M45" s="12">
        <f t="shared" si="1"/>
        <v>5</v>
      </c>
      <c r="N45" s="28">
        <v>3.4627911174779662</v>
      </c>
      <c r="O45" s="15">
        <v>0.7669775064854949</v>
      </c>
      <c r="P45" s="15">
        <v>5.8054232555761311</v>
      </c>
      <c r="Q45">
        <v>30</v>
      </c>
    </row>
    <row r="46" spans="1:19" x14ac:dyDescent="0.15">
      <c r="B46" s="14">
        <f t="shared" si="0"/>
        <v>75</v>
      </c>
      <c r="D46" s="15">
        <v>7.5466855394401566E-2</v>
      </c>
      <c r="E46" s="10">
        <v>10.576159943170675</v>
      </c>
      <c r="F46" s="15"/>
      <c r="G46" s="15"/>
      <c r="M46" s="12">
        <f t="shared" si="1"/>
        <v>6</v>
      </c>
      <c r="N46" s="28">
        <v>4.9896887850569049</v>
      </c>
      <c r="O46" s="15">
        <v>0.70725933701587584</v>
      </c>
      <c r="P46" s="15">
        <v>6.231443378346488</v>
      </c>
      <c r="Q46">
        <v>30</v>
      </c>
    </row>
    <row r="47" spans="1:19" x14ac:dyDescent="0.15">
      <c r="B47" s="14">
        <f t="shared" si="0"/>
        <v>80</v>
      </c>
      <c r="D47" s="15">
        <v>0.16533633697213168</v>
      </c>
      <c r="E47" s="10">
        <v>10.476536079948378</v>
      </c>
      <c r="F47" s="15"/>
      <c r="G47" s="15"/>
      <c r="M47" s="12">
        <f t="shared" si="1"/>
        <v>7</v>
      </c>
      <c r="N47" s="28">
        <v>6.7988840424114976</v>
      </c>
      <c r="O47" s="15">
        <v>0.64424029787179293</v>
      </c>
      <c r="P47" s="15">
        <v>6.6750344994720834</v>
      </c>
      <c r="Q47">
        <v>30</v>
      </c>
    </row>
    <row r="48" spans="1:19" x14ac:dyDescent="0.15">
      <c r="B48" s="14">
        <f t="shared" si="0"/>
        <v>85</v>
      </c>
      <c r="D48" s="15">
        <v>0.2581125496386576</v>
      </c>
      <c r="E48" s="10">
        <v>10.376909249487237</v>
      </c>
      <c r="F48" s="15"/>
      <c r="G48" s="15"/>
      <c r="M48" s="12">
        <f t="shared" si="1"/>
        <v>8</v>
      </c>
      <c r="N48" s="28">
        <v>8.8950377250763744</v>
      </c>
      <c r="O48" s="15">
        <v>0.57750518443441079</v>
      </c>
      <c r="P48" s="15">
        <v>7.1531519383606161</v>
      </c>
      <c r="Q48">
        <v>30</v>
      </c>
    </row>
    <row r="49" spans="2:17" x14ac:dyDescent="0.15">
      <c r="B49" s="14">
        <f t="shared" si="0"/>
        <v>90</v>
      </c>
      <c r="D49" s="15">
        <v>0.35394575997325672</v>
      </c>
      <c r="E49" s="10">
        <v>10.277280061165971</v>
      </c>
      <c r="F49" s="15"/>
      <c r="G49" s="15"/>
      <c r="M49" s="12">
        <f t="shared" si="1"/>
        <v>9</v>
      </c>
      <c r="N49" s="28">
        <v>11.285445504170719</v>
      </c>
      <c r="O49" s="15">
        <v>0.5066847504615476</v>
      </c>
      <c r="P49" s="15">
        <v>7.648371627444706</v>
      </c>
      <c r="Q49">
        <v>30</v>
      </c>
    </row>
    <row r="50" spans="2:17" x14ac:dyDescent="0.15">
      <c r="B50" s="14">
        <f t="shared" si="0"/>
        <v>95</v>
      </c>
      <c r="D50" s="15">
        <v>0.45299660409681741</v>
      </c>
      <c r="E50" s="10">
        <v>10.177649126218435</v>
      </c>
      <c r="F50" s="15"/>
      <c r="G50" s="15"/>
      <c r="M50" s="12">
        <f t="shared" si="1"/>
        <v>10</v>
      </c>
      <c r="N50" s="28">
        <v>13.981068604682335</v>
      </c>
      <c r="O50" s="15">
        <v>0.43145401943004646</v>
      </c>
      <c r="P50" s="15">
        <v>8.1381801331764922</v>
      </c>
      <c r="Q50">
        <v>30</v>
      </c>
    </row>
    <row r="51" spans="2:17" x14ac:dyDescent="0.15">
      <c r="B51" s="14">
        <f t="shared" si="0"/>
        <v>100</v>
      </c>
      <c r="D51" s="15">
        <v>0.55543699716214778</v>
      </c>
      <c r="E51" s="10">
        <v>10.09651069793507</v>
      </c>
      <c r="F51" s="15"/>
      <c r="G51" s="15"/>
      <c r="M51" s="12">
        <f t="shared" si="1"/>
        <v>11</v>
      </c>
      <c r="N51" s="28">
        <v>16.997953744894399</v>
      </c>
      <c r="O51" s="15">
        <v>0.35152943513967017</v>
      </c>
      <c r="P51" s="15">
        <v>8.6644827791429293</v>
      </c>
      <c r="Q51">
        <v>30</v>
      </c>
    </row>
    <row r="52" spans="2:17" x14ac:dyDescent="0.15">
      <c r="B52" s="14">
        <f t="shared" si="0"/>
        <v>105</v>
      </c>
      <c r="D52" s="15">
        <v>0.66145114028815555</v>
      </c>
      <c r="E52" s="10">
        <v>9.9944726486756945</v>
      </c>
      <c r="F52" s="15"/>
      <c r="G52" s="15"/>
      <c r="M52" s="12">
        <f t="shared" si="1"/>
        <v>12</v>
      </c>
      <c r="N52" s="28">
        <v>20.359280683288361</v>
      </c>
      <c r="O52" s="15">
        <v>0.26666530031720237</v>
      </c>
      <c r="P52" s="15">
        <v>9.207897354095115</v>
      </c>
      <c r="Q52">
        <v>30</v>
      </c>
    </row>
    <row r="53" spans="2:17" x14ac:dyDescent="0.15">
      <c r="B53" s="14">
        <f t="shared" si="0"/>
        <v>110</v>
      </c>
      <c r="D53" s="15">
        <v>0.7712366373398305</v>
      </c>
      <c r="E53" s="10">
        <v>9.8924319533763985</v>
      </c>
      <c r="F53" s="15"/>
      <c r="G53" s="15"/>
      <c r="M53" s="12">
        <f t="shared" si="1"/>
        <v>13</v>
      </c>
      <c r="N53" s="28">
        <v>24.098475158268229</v>
      </c>
      <c r="O53" s="15">
        <v>0.17664987766075313</v>
      </c>
      <c r="P53" s="15">
        <v>9.7468733885675096</v>
      </c>
      <c r="Q53">
        <v>30</v>
      </c>
    </row>
    <row r="54" spans="2:17" x14ac:dyDescent="0.15">
      <c r="B54" s="14">
        <f t="shared" si="0"/>
        <v>115</v>
      </c>
      <c r="D54" s="15">
        <v>0.88500573579335251</v>
      </c>
      <c r="E54" s="10">
        <v>9.7903892821917466</v>
      </c>
      <c r="F54" s="15"/>
      <c r="G54" s="15"/>
      <c r="M54" s="12">
        <f t="shared" si="1"/>
        <v>14</v>
      </c>
      <c r="N54" s="28">
        <v>28.26423531649057</v>
      </c>
      <c r="O54" s="15">
        <v>8.1301438613647692E-2</v>
      </c>
      <c r="P54" s="15">
        <v>10.321354742435441</v>
      </c>
      <c r="Q54">
        <v>30</v>
      </c>
    </row>
    <row r="55" spans="2:17" x14ac:dyDescent="0.15">
      <c r="B55" s="14">
        <f t="shared" si="0"/>
        <v>120</v>
      </c>
      <c r="D55" s="15">
        <v>1.0029867080749224</v>
      </c>
      <c r="E55" s="10">
        <v>9.6883453071992012</v>
      </c>
      <c r="F55" s="15"/>
      <c r="G55" s="15"/>
      <c r="M55" s="12">
        <f t="shared" si="1"/>
        <v>15</v>
      </c>
      <c r="N55" s="28">
        <v>32.929241257555304</v>
      </c>
      <c r="O55" s="15">
        <v>0</v>
      </c>
      <c r="P55" s="15">
        <v>10.950410678498848</v>
      </c>
      <c r="Q55">
        <v>30</v>
      </c>
    </row>
    <row r="56" spans="2:17" x14ac:dyDescent="0.15">
      <c r="B56" s="14">
        <f t="shared" si="0"/>
        <v>125</v>
      </c>
      <c r="D56" s="15">
        <v>1.1254253922832802</v>
      </c>
      <c r="E56" s="15">
        <v>9.6045003721196593</v>
      </c>
      <c r="F56" s="15"/>
      <c r="G56" s="15"/>
      <c r="M56" s="12">
        <f t="shared" si="1"/>
        <v>16</v>
      </c>
      <c r="N56" s="28">
        <v>38.206626712779226</v>
      </c>
      <c r="O56" s="15">
        <v>0</v>
      </c>
      <c r="P56" s="15">
        <v>11.764273451157397</v>
      </c>
      <c r="Q56">
        <v>30</v>
      </c>
    </row>
    <row r="57" spans="2:17" x14ac:dyDescent="0.15">
      <c r="M57" s="12">
        <f t="shared" si="1"/>
        <v>17</v>
      </c>
      <c r="N57" s="28">
        <v>44.284984896570968</v>
      </c>
      <c r="O57" s="15">
        <v>0</v>
      </c>
      <c r="P57" s="15">
        <v>12.622436980076939</v>
      </c>
      <c r="Q57">
        <v>30</v>
      </c>
    </row>
    <row r="58" spans="2:17" x14ac:dyDescent="0.15">
      <c r="J58" s="15"/>
      <c r="M58" s="12">
        <f t="shared" si="1"/>
        <v>18</v>
      </c>
      <c r="N58" s="28" t="e">
        <v>#N/A</v>
      </c>
      <c r="O58" s="15">
        <v>0</v>
      </c>
      <c r="P58" s="15">
        <v>13.485600633940937</v>
      </c>
      <c r="Q58">
        <v>30</v>
      </c>
    </row>
    <row r="59" spans="2:17" x14ac:dyDescent="0.15">
      <c r="J59" s="15"/>
      <c r="M59" s="12">
        <f t="shared" si="1"/>
        <v>19</v>
      </c>
      <c r="N59" s="28" t="e">
        <v>#N/A</v>
      </c>
      <c r="O59" s="15">
        <v>0</v>
      </c>
      <c r="P59" s="15">
        <v>14.375739140729229</v>
      </c>
      <c r="Q59">
        <v>30</v>
      </c>
    </row>
    <row r="60" spans="2:17" x14ac:dyDescent="0.15">
      <c r="J60" s="15"/>
      <c r="M60" s="12">
        <f t="shared" si="1"/>
        <v>20</v>
      </c>
      <c r="N60" s="28" t="e">
        <v>#N/A</v>
      </c>
      <c r="O60" s="15">
        <v>0</v>
      </c>
      <c r="P60" s="15">
        <v>15.310639205000887</v>
      </c>
      <c r="Q60">
        <v>30</v>
      </c>
    </row>
  </sheetData>
  <pageMargins left="0.75" right="0.75" top="1" bottom="1" header="0.5" footer="0.5"/>
  <pageSetup paperSize="9" orientation="landscape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0]!Pivot">
                <anchor moveWithCells="1" sizeWithCells="1">
                  <from>
                    <xdr:col>7</xdr:col>
                    <xdr:colOff>0</xdr:colOff>
                    <xdr:row>27</xdr:row>
                    <xdr:rowOff>38100</xdr:rowOff>
                  </from>
                  <to>
                    <xdr:col>8</xdr:col>
                    <xdr:colOff>66675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Line="0" autoPict="0" macro="[0]!Heel">
                <anchor moveWithCells="1" sizeWithCells="1">
                  <from>
                    <xdr:col>7</xdr:col>
                    <xdr:colOff>0</xdr:colOff>
                    <xdr:row>31</xdr:row>
                    <xdr:rowOff>66675</xdr:rowOff>
                  </from>
                  <to>
                    <xdr:col>8</xdr:col>
                    <xdr:colOff>66675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print="0" autoFill="0" autoLine="0" autoPict="0" macro="[0]!Wind">
                <anchor moveWithCells="1" sizeWithCells="1">
                  <from>
                    <xdr:col>7</xdr:col>
                    <xdr:colOff>9525</xdr:colOff>
                    <xdr:row>29</xdr:row>
                    <xdr:rowOff>47625</xdr:rowOff>
                  </from>
                  <to>
                    <xdr:col>8</xdr:col>
                    <xdr:colOff>76200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Button 5">
              <controlPr defaultSize="0" print="0" autoFill="0" autoLine="0" autoPict="0" macro="[0]!Doitall">
                <anchor moveWithCells="1" sizeWithCells="1">
                  <from>
                    <xdr:col>13</xdr:col>
                    <xdr:colOff>876300</xdr:colOff>
                    <xdr:row>31</xdr:row>
                    <xdr:rowOff>95250</xdr:rowOff>
                  </from>
                  <to>
                    <xdr:col>14</xdr:col>
                    <xdr:colOff>304800</xdr:colOff>
                    <xdr:row>32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J6:K32"/>
  <sheetViews>
    <sheetView workbookViewId="0"/>
  </sheetViews>
  <sheetFormatPr defaultRowHeight="12" x14ac:dyDescent="0.15"/>
  <sheetData>
    <row r="6" spans="10:11" x14ac:dyDescent="0.15">
      <c r="J6" s="44">
        <f>ShOffset</f>
        <v>0</v>
      </c>
      <c r="K6" t="s">
        <v>101</v>
      </c>
    </row>
    <row r="7" spans="10:11" x14ac:dyDescent="0.15">
      <c r="J7" s="23">
        <f>BsTens</f>
        <v>3.5</v>
      </c>
      <c r="K7" t="s">
        <v>27</v>
      </c>
    </row>
    <row r="8" spans="10:11" x14ac:dyDescent="0.15">
      <c r="J8" s="44">
        <f>ShTens</f>
        <v>8</v>
      </c>
      <c r="K8" t="s">
        <v>102</v>
      </c>
    </row>
    <row r="9" spans="10:11" x14ac:dyDescent="0.15">
      <c r="J9" s="11">
        <f>DefaultWindSpeed</f>
        <v>14.5</v>
      </c>
      <c r="K9" t="s">
        <v>32</v>
      </c>
    </row>
    <row r="29" spans="10:11" x14ac:dyDescent="0.15">
      <c r="J29" s="44">
        <f>ShOffset</f>
        <v>0</v>
      </c>
      <c r="K29" t="s">
        <v>101</v>
      </c>
    </row>
    <row r="30" spans="10:11" x14ac:dyDescent="0.15">
      <c r="J30" s="23">
        <f>BsTens</f>
        <v>3.5</v>
      </c>
      <c r="K30" t="s">
        <v>27</v>
      </c>
    </row>
    <row r="31" spans="10:11" x14ac:dyDescent="0.15">
      <c r="J31" s="44">
        <f>ShTens</f>
        <v>8</v>
      </c>
      <c r="K31" t="s">
        <v>102</v>
      </c>
    </row>
    <row r="32" spans="10:11" x14ac:dyDescent="0.15">
      <c r="J32" s="11">
        <f>DefaultPivotOffset</f>
        <v>72.5</v>
      </c>
      <c r="K32" t="s">
        <v>73</v>
      </c>
    </row>
  </sheetData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J7:K7"/>
  <sheetViews>
    <sheetView workbookViewId="0">
      <selection activeCell="J7" sqref="J7"/>
    </sheetView>
  </sheetViews>
  <sheetFormatPr defaultRowHeight="12" x14ac:dyDescent="0.15"/>
  <sheetData>
    <row r="7" spans="10:11" x14ac:dyDescent="0.15">
      <c r="J7" s="27">
        <v>30</v>
      </c>
      <c r="K7" t="s">
        <v>35</v>
      </c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H6:K33"/>
  <sheetViews>
    <sheetView workbookViewId="0"/>
  </sheetViews>
  <sheetFormatPr defaultRowHeight="12" x14ac:dyDescent="0.15"/>
  <sheetData>
    <row r="6" spans="8:11" x14ac:dyDescent="0.15">
      <c r="J6">
        <f>BsTens</f>
        <v>3.5</v>
      </c>
      <c r="K6" t="s">
        <v>27</v>
      </c>
    </row>
    <row r="7" spans="8:11" x14ac:dyDescent="0.15">
      <c r="J7">
        <f>ShTens</f>
        <v>8</v>
      </c>
      <c r="K7" t="s">
        <v>103</v>
      </c>
    </row>
    <row r="8" spans="8:11" x14ac:dyDescent="0.15">
      <c r="H8" s="39"/>
      <c r="J8">
        <f>ShOffset</f>
        <v>0</v>
      </c>
      <c r="K8" t="s">
        <v>104</v>
      </c>
    </row>
    <row r="9" spans="8:11" x14ac:dyDescent="0.15">
      <c r="J9">
        <f>DefaultPivotOffset</f>
        <v>72.5</v>
      </c>
      <c r="K9" t="s">
        <v>73</v>
      </c>
    </row>
    <row r="30" spans="10:11" x14ac:dyDescent="0.15">
      <c r="J30">
        <f>BsTens</f>
        <v>3.5</v>
      </c>
      <c r="K30" t="s">
        <v>27</v>
      </c>
    </row>
    <row r="31" spans="10:11" x14ac:dyDescent="0.15">
      <c r="J31">
        <f>ShTens</f>
        <v>8</v>
      </c>
      <c r="K31" t="s">
        <v>103</v>
      </c>
    </row>
    <row r="32" spans="10:11" x14ac:dyDescent="0.15">
      <c r="J32">
        <f>ShOffset</f>
        <v>0</v>
      </c>
      <c r="K32" t="s">
        <v>104</v>
      </c>
    </row>
    <row r="33" spans="10:11" x14ac:dyDescent="0.15">
      <c r="J33">
        <f>DefaultWindSpeed</f>
        <v>14.5</v>
      </c>
      <c r="K33" t="s">
        <v>32</v>
      </c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J8:K36"/>
  <sheetViews>
    <sheetView workbookViewId="0"/>
  </sheetViews>
  <sheetFormatPr defaultRowHeight="12" x14ac:dyDescent="0.15"/>
  <sheetData>
    <row r="8" spans="10:11" x14ac:dyDescent="0.15">
      <c r="J8">
        <f>DefaultPivotOffset</f>
        <v>72.5</v>
      </c>
      <c r="K8" t="s">
        <v>73</v>
      </c>
    </row>
    <row r="9" spans="10:11" x14ac:dyDescent="0.15">
      <c r="J9" s="15">
        <f>DefaultTwist</f>
        <v>9.9529551683004005</v>
      </c>
      <c r="K9" s="75" t="s">
        <v>105</v>
      </c>
    </row>
    <row r="10" spans="10:11" x14ac:dyDescent="0.15">
      <c r="J10">
        <f>BsTens</f>
        <v>3.5</v>
      </c>
      <c r="K10" t="s">
        <v>27</v>
      </c>
    </row>
    <row r="11" spans="10:11" x14ac:dyDescent="0.15">
      <c r="J11">
        <f>ShTens</f>
        <v>8</v>
      </c>
      <c r="K11" t="s">
        <v>103</v>
      </c>
    </row>
    <row r="12" spans="10:11" x14ac:dyDescent="0.15">
      <c r="J12">
        <f>ShOffset</f>
        <v>0</v>
      </c>
      <c r="K12" t="s">
        <v>104</v>
      </c>
    </row>
    <row r="33" spans="10:11" x14ac:dyDescent="0.15">
      <c r="J33">
        <f>DefaultPivotOffset</f>
        <v>72.5</v>
      </c>
      <c r="K33" t="s">
        <v>73</v>
      </c>
    </row>
    <row r="34" spans="10:11" x14ac:dyDescent="0.15">
      <c r="J34">
        <f>BsTens</f>
        <v>3.5</v>
      </c>
      <c r="K34" t="s">
        <v>27</v>
      </c>
    </row>
    <row r="35" spans="10:11" x14ac:dyDescent="0.15">
      <c r="J35">
        <f>ShTens</f>
        <v>8</v>
      </c>
      <c r="K35" t="s">
        <v>103</v>
      </c>
    </row>
    <row r="36" spans="10:11" x14ac:dyDescent="0.15">
      <c r="J36">
        <f>ShOffset</f>
        <v>0</v>
      </c>
      <c r="K36" t="s">
        <v>104</v>
      </c>
    </row>
  </sheetData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Y64"/>
  <sheetViews>
    <sheetView showGridLines="0" workbookViewId="0">
      <selection activeCell="I3" sqref="I3"/>
    </sheetView>
  </sheetViews>
  <sheetFormatPr defaultRowHeight="12" x14ac:dyDescent="0.15"/>
  <cols>
    <col min="1" max="1" width="24.625" customWidth="1"/>
    <col min="2" max="2" width="8.75" customWidth="1"/>
    <col min="3" max="3" width="4.625" customWidth="1"/>
    <col min="4" max="4" width="3" customWidth="1"/>
    <col min="5" max="5" width="6.5" customWidth="1"/>
    <col min="6" max="7" width="6.125" customWidth="1"/>
    <col min="8" max="8" width="8.375" customWidth="1"/>
    <col min="9" max="9" width="7.875" customWidth="1"/>
    <col min="10" max="10" width="7.25" customWidth="1"/>
    <col min="11" max="11" width="6.125" customWidth="1"/>
    <col min="12" max="12" width="6.875" customWidth="1"/>
    <col min="13" max="15" width="4.875" customWidth="1"/>
    <col min="16" max="16" width="5" customWidth="1"/>
    <col min="17" max="19" width="5.625" customWidth="1"/>
  </cols>
  <sheetData>
    <row r="1" spans="1:25" x14ac:dyDescent="0.15"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M1" t="s">
        <v>106</v>
      </c>
    </row>
    <row r="2" spans="1:25" x14ac:dyDescent="0.15">
      <c r="A2" t="s">
        <v>107</v>
      </c>
      <c r="B2" s="13">
        <v>2</v>
      </c>
      <c r="F2" s="22" t="s">
        <v>108</v>
      </c>
      <c r="G2" s="22" t="s">
        <v>109</v>
      </c>
      <c r="H2" s="22" t="s">
        <v>110</v>
      </c>
      <c r="I2" s="22" t="s">
        <v>111</v>
      </c>
      <c r="J2" s="22" t="s">
        <v>112</v>
      </c>
      <c r="M2" t="s">
        <v>97</v>
      </c>
      <c r="N2" t="s">
        <v>108</v>
      </c>
      <c r="Q2" t="s">
        <v>113</v>
      </c>
      <c r="R2" t="s">
        <v>108</v>
      </c>
      <c r="X2" s="22" t="s">
        <v>114</v>
      </c>
      <c r="Y2">
        <f>EntryNominal+DefaultTwist</f>
        <v>33.188893887914347</v>
      </c>
    </row>
    <row r="3" spans="1:25" x14ac:dyDescent="0.15">
      <c r="A3" t="s">
        <v>48</v>
      </c>
      <c r="B3" s="27">
        <f>HLOOKUP(RigNumber,DefaultTable,8)</f>
        <v>1420</v>
      </c>
      <c r="C3" t="s">
        <v>16</v>
      </c>
      <c r="E3">
        <v>0.5</v>
      </c>
      <c r="F3">
        <v>0.5</v>
      </c>
      <c r="G3" s="15">
        <f>ATAN(F3/(JsLength/2))*180/PI()</f>
        <v>4.0349133832011205E-2</v>
      </c>
      <c r="H3" s="34">
        <f>ElongAdjust*(2*SQRT(F3*F3+(JsLength/2)^2)-JsLength)</f>
        <v>7.0422526459879009E-4</v>
      </c>
      <c r="I3" s="15">
        <f>JsTensStatic+JsLeverage+H3*Modulus/JsLength</f>
        <v>7.0948261145823981</v>
      </c>
      <c r="J3" s="41">
        <f>I3*SIN(2*G3*PI()/180)</f>
        <v>9.992707881722936E-3</v>
      </c>
      <c r="K3">
        <f>F3</f>
        <v>0.5</v>
      </c>
      <c r="L3" s="22" t="s">
        <v>115</v>
      </c>
      <c r="M3" s="22"/>
      <c r="N3" s="22" t="s">
        <v>108</v>
      </c>
      <c r="O3" s="22" t="s">
        <v>116</v>
      </c>
      <c r="P3" s="22" t="s">
        <v>117</v>
      </c>
      <c r="Q3" s="22"/>
      <c r="R3" s="22" t="s">
        <v>108</v>
      </c>
      <c r="S3" s="22"/>
      <c r="T3" s="22" t="s">
        <v>115</v>
      </c>
      <c r="U3" s="22"/>
      <c r="V3" s="22"/>
      <c r="W3" s="22"/>
      <c r="X3" s="22" t="s">
        <v>118</v>
      </c>
      <c r="Y3">
        <f>VLOOKUP(DefaultWindSpeed,M5:X24,12)</f>
        <v>41.212683044648948</v>
      </c>
    </row>
    <row r="4" spans="1:25" x14ac:dyDescent="0.15">
      <c r="A4" t="s">
        <v>72</v>
      </c>
      <c r="B4" s="52">
        <f>HLOOKUP(RigNumber,DefaultTable,16)</f>
        <v>20000</v>
      </c>
      <c r="F4">
        <f>SagStart+SagIncrement</f>
        <v>1</v>
      </c>
      <c r="G4" s="15">
        <f t="shared" ref="G4:G61" si="0">ATAN(F4/(JsLength/2))*180/PI()</f>
        <v>8.0698227643113407E-2</v>
      </c>
      <c r="H4" s="34">
        <f t="shared" ref="H4:H62" si="1">ElongAdjust*(2*SQRT(F4*F4+(JsLength/2)^2)-JsLength)</f>
        <v>2.8169000115667586E-3</v>
      </c>
      <c r="I4" s="15">
        <f t="shared" ref="I4:I62" si="2">JsTensStatic+JsLeverage+H4*Modulus/JsLength</f>
        <v>7.1245820969340601</v>
      </c>
      <c r="J4" s="41">
        <f t="shared" ref="J4:J33" si="3">I4*SIN(2*G4*PI()/180)</f>
        <v>2.0069205531523179E-2</v>
      </c>
      <c r="K4">
        <f t="shared" ref="K4:K33" si="4">F4</f>
        <v>1</v>
      </c>
      <c r="L4" s="73">
        <f>DraftInterp</f>
        <v>0.11995560871217423</v>
      </c>
      <c r="N4" s="32">
        <f>JsSagTotal</f>
        <v>14.901724119190613</v>
      </c>
      <c r="O4" s="32">
        <f>MidLeechTwist</f>
        <v>8.8736787831954427</v>
      </c>
      <c r="P4" s="32">
        <f>EntryInterp</f>
        <v>35.48537689875441</v>
      </c>
      <c r="R4" s="42">
        <f>JsSagTotal</f>
        <v>14.901724119190613</v>
      </c>
      <c r="T4" s="73">
        <f>DraftInterp</f>
        <v>0.11995560871217423</v>
      </c>
      <c r="U4" s="79">
        <f>NominalDraft</f>
        <v>0.08</v>
      </c>
      <c r="V4" s="42">
        <f>DefaultTwist</f>
        <v>9.9529551683004005</v>
      </c>
      <c r="W4" s="32">
        <f>'Sag draft'!G7</f>
        <v>23.235938719613948</v>
      </c>
      <c r="X4">
        <f>X5</f>
        <v>24.830176110750749</v>
      </c>
    </row>
    <row r="5" spans="1:25" x14ac:dyDescent="0.15">
      <c r="A5" t="s">
        <v>119</v>
      </c>
      <c r="B5" s="20">
        <v>1</v>
      </c>
      <c r="F5">
        <f>F4+SagIncrement</f>
        <v>1.5</v>
      </c>
      <c r="G5" s="15">
        <f t="shared" si="0"/>
        <v>0.1210472414126357</v>
      </c>
      <c r="H5" s="34">
        <f t="shared" si="1"/>
        <v>6.3380210967807216E-3</v>
      </c>
      <c r="I5" s="15">
        <f t="shared" si="2"/>
        <v>7.174175351655383</v>
      </c>
      <c r="J5" s="41">
        <f t="shared" si="3"/>
        <v>3.0313281678520501E-2</v>
      </c>
      <c r="K5">
        <f t="shared" si="4"/>
        <v>1.5</v>
      </c>
      <c r="L5" s="70">
        <v>5.2304431807440342E-2</v>
      </c>
      <c r="M5" s="12">
        <f>Tensions!M41</f>
        <v>1</v>
      </c>
      <c r="N5">
        <v>1.6079996687620466</v>
      </c>
      <c r="O5">
        <v>9.7590760851414746</v>
      </c>
      <c r="P5">
        <v>15.071100025609272</v>
      </c>
      <c r="Q5">
        <f>Tensions!B41</f>
        <v>50</v>
      </c>
      <c r="R5" s="15">
        <v>12.231646248897441</v>
      </c>
      <c r="T5" s="70">
        <v>0.11209559665192152</v>
      </c>
      <c r="U5" s="47">
        <f>$U$4</f>
        <v>0.08</v>
      </c>
      <c r="V5" s="15">
        <f>$V$4</f>
        <v>9.9529551683004005</v>
      </c>
      <c r="W5">
        <f>$W$4</f>
        <v>23.235938719613948</v>
      </c>
      <c r="X5">
        <f>P5+O5</f>
        <v>24.830176110750749</v>
      </c>
    </row>
    <row r="6" spans="1:25" x14ac:dyDescent="0.15">
      <c r="A6" t="s">
        <v>120</v>
      </c>
      <c r="B6" s="84">
        <f>0.5*JibBase/JibBoom</f>
        <v>0.40584415584415584</v>
      </c>
      <c r="F6">
        <f t="shared" ref="F6:F62" si="5">F5+SagIncrement</f>
        <v>2</v>
      </c>
      <c r="G6" s="15">
        <f t="shared" si="0"/>
        <v>0.1613961351203837</v>
      </c>
      <c r="H6" s="34">
        <f t="shared" si="1"/>
        <v>1.1267583282005944E-2</v>
      </c>
      <c r="I6" s="15">
        <f t="shared" si="2"/>
        <v>7.2436058049684142</v>
      </c>
      <c r="J6" s="41">
        <f t="shared" si="3"/>
        <v>4.0808722974049597E-2</v>
      </c>
      <c r="K6">
        <f t="shared" si="4"/>
        <v>2</v>
      </c>
      <c r="L6" s="70">
        <v>6.5871693246424945E-2</v>
      </c>
      <c r="M6" s="12">
        <f>Tensions!M42</f>
        <v>2</v>
      </c>
      <c r="N6">
        <v>3.0571532828971568</v>
      </c>
      <c r="O6">
        <v>9.5843699376910081</v>
      </c>
      <c r="P6">
        <v>19.046093463330568</v>
      </c>
      <c r="Q6">
        <f>Tensions!B42</f>
        <v>55</v>
      </c>
      <c r="R6" s="15">
        <v>12.494319590418845</v>
      </c>
      <c r="T6" s="70">
        <v>0.11310349898070642</v>
      </c>
      <c r="U6" s="47">
        <f t="shared" ref="U6:U24" si="6">$U$4</f>
        <v>0.08</v>
      </c>
      <c r="V6" s="15">
        <f t="shared" ref="V6:V24" si="7">$V$4</f>
        <v>9.9529551683004005</v>
      </c>
      <c r="W6">
        <f t="shared" ref="W6:W24" si="8">$W$4</f>
        <v>23.235938719613948</v>
      </c>
      <c r="X6">
        <f t="shared" ref="X6:X24" si="9">P6+O6</f>
        <v>28.630463401021576</v>
      </c>
    </row>
    <row r="7" spans="1:25" x14ac:dyDescent="0.15">
      <c r="A7" t="s">
        <v>121</v>
      </c>
      <c r="B7" s="15">
        <f>SagDistrib*TotJib</f>
        <v>0.66708544161568462</v>
      </c>
      <c r="C7" t="s">
        <v>26</v>
      </c>
      <c r="F7">
        <f t="shared" si="5"/>
        <v>2.5</v>
      </c>
      <c r="G7" s="15">
        <f t="shared" si="0"/>
        <v>0.20174486874687728</v>
      </c>
      <c r="H7" s="34">
        <f t="shared" si="1"/>
        <v>1.7605579233077151E-2</v>
      </c>
      <c r="I7" s="15">
        <f t="shared" si="2"/>
        <v>7.3328733535750512</v>
      </c>
      <c r="J7" s="41">
        <f t="shared" si="3"/>
        <v>5.1639312952758337E-2</v>
      </c>
      <c r="K7">
        <f t="shared" si="4"/>
        <v>2.5</v>
      </c>
      <c r="L7" s="70">
        <v>7.5224914508200014E-2</v>
      </c>
      <c r="M7" s="12">
        <f>Tensions!M43</f>
        <v>3</v>
      </c>
      <c r="N7">
        <v>4.303361867067335</v>
      </c>
      <c r="O7">
        <v>9.3611384820061954</v>
      </c>
      <c r="P7">
        <v>21.813366756015228</v>
      </c>
      <c r="Q7">
        <f>Tensions!B43</f>
        <v>60</v>
      </c>
      <c r="R7" s="15">
        <v>12.696232721734743</v>
      </c>
      <c r="T7" s="70">
        <v>0.11387825866544192</v>
      </c>
      <c r="U7" s="47">
        <f t="shared" si="6"/>
        <v>0.08</v>
      </c>
      <c r="V7" s="15">
        <f t="shared" si="7"/>
        <v>9.9529551683004005</v>
      </c>
      <c r="W7">
        <f t="shared" si="8"/>
        <v>23.235938719613948</v>
      </c>
      <c r="X7">
        <f t="shared" si="9"/>
        <v>31.174505238021425</v>
      </c>
    </row>
    <row r="8" spans="1:25" x14ac:dyDescent="0.15">
      <c r="A8" t="s">
        <v>122</v>
      </c>
      <c r="B8" s="15">
        <f>TotJib*(((JibLever*JibBoom)-PivotOffset)/JibBase)</f>
        <v>1.6436985281410468</v>
      </c>
      <c r="C8" t="s">
        <v>26</v>
      </c>
      <c r="F8">
        <f t="shared" si="5"/>
        <v>3</v>
      </c>
      <c r="G8" s="15">
        <f t="shared" si="0"/>
        <v>0.24209340227358911</v>
      </c>
      <c r="H8" s="34">
        <f t="shared" si="1"/>
        <v>2.5351999520353274E-2</v>
      </c>
      <c r="I8" s="15">
        <f t="shared" si="2"/>
        <v>7.4419778646634471</v>
      </c>
      <c r="J8" s="41">
        <f t="shared" si="3"/>
        <v>6.2888830993825307E-2</v>
      </c>
      <c r="K8">
        <f t="shared" si="4"/>
        <v>3</v>
      </c>
      <c r="L8" s="70">
        <v>8.2113513654441014E-2</v>
      </c>
      <c r="M8" s="12">
        <f>Tensions!M44</f>
        <v>4</v>
      </c>
      <c r="N8">
        <v>5.3861876541298557</v>
      </c>
      <c r="O8">
        <v>9.1529684699593652</v>
      </c>
      <c r="P8">
        <v>23.867064346022076</v>
      </c>
      <c r="Q8">
        <f>Tensions!B44</f>
        <v>65</v>
      </c>
      <c r="R8" s="15">
        <v>12.859733918703684</v>
      </c>
      <c r="T8" s="70">
        <v>0.11450562814355351</v>
      </c>
      <c r="U8" s="47">
        <f t="shared" si="6"/>
        <v>0.08</v>
      </c>
      <c r="V8" s="15">
        <f t="shared" si="7"/>
        <v>9.9529551683004005</v>
      </c>
      <c r="W8">
        <f t="shared" si="8"/>
        <v>23.235938719613948</v>
      </c>
      <c r="X8">
        <f t="shared" si="9"/>
        <v>33.020032815981438</v>
      </c>
    </row>
    <row r="9" spans="1:25" x14ac:dyDescent="0.15">
      <c r="A9" t="s">
        <v>123</v>
      </c>
      <c r="B9" s="50">
        <f>TlTensStatic*JibBase/((JibLever*JibBoom)-PivotOffset)</f>
        <v>1.033624627077157</v>
      </c>
      <c r="C9" t="s">
        <v>26</v>
      </c>
      <c r="F9">
        <f t="shared" si="5"/>
        <v>3.5</v>
      </c>
      <c r="G9" s="15">
        <f t="shared" si="0"/>
        <v>0.28244169568318273</v>
      </c>
      <c r="H9" s="34">
        <f t="shared" si="1"/>
        <v>3.4506832619626948E-2</v>
      </c>
      <c r="I9" s="15">
        <f t="shared" si="2"/>
        <v>7.5709191759208228</v>
      </c>
      <c r="J9" s="41">
        <f t="shared" si="3"/>
        <v>7.4641051282381035E-2</v>
      </c>
      <c r="K9">
        <f t="shared" si="4"/>
        <v>3.5</v>
      </c>
      <c r="L9" s="70">
        <v>8.7469611915070883E-2</v>
      </c>
      <c r="M9" s="12">
        <f>Tensions!M45</f>
        <v>5</v>
      </c>
      <c r="N9">
        <v>6.3424770580258043</v>
      </c>
      <c r="O9">
        <v>8.9615527950098013</v>
      </c>
      <c r="P9">
        <v>25.475593957162197</v>
      </c>
      <c r="Q9">
        <f>Tensions!B45</f>
        <v>70</v>
      </c>
      <c r="R9" s="15">
        <v>12.991431612301263</v>
      </c>
      <c r="T9" s="70">
        <v>0.11501096458654303</v>
      </c>
      <c r="U9" s="47">
        <f t="shared" si="6"/>
        <v>0.08</v>
      </c>
      <c r="V9" s="15">
        <f t="shared" si="7"/>
        <v>9.9529551683004005</v>
      </c>
      <c r="W9">
        <f t="shared" si="8"/>
        <v>23.235938719613948</v>
      </c>
      <c r="X9">
        <f t="shared" si="9"/>
        <v>34.437146752171998</v>
      </c>
    </row>
    <row r="10" spans="1:25" x14ac:dyDescent="0.15">
      <c r="A10" t="s">
        <v>124</v>
      </c>
      <c r="B10" s="15">
        <f>IF(TotJib&gt;TlRelForce,(TotJib-TlRelForce)*(((JibLever*JibBoom)-PivotOffset)/PivotOffset),0)</f>
        <v>2.6296288838960771</v>
      </c>
      <c r="C10" t="s">
        <v>26</v>
      </c>
      <c r="D10" t="s">
        <v>125</v>
      </c>
      <c r="F10">
        <f t="shared" si="5"/>
        <v>4</v>
      </c>
      <c r="G10" s="15">
        <f t="shared" si="0"/>
        <v>0.32278970895975034</v>
      </c>
      <c r="H10" s="34">
        <f t="shared" si="1"/>
        <v>4.5070064910305518E-2</v>
      </c>
      <c r="I10" s="15">
        <f t="shared" si="2"/>
        <v>7.7196970955078452</v>
      </c>
      <c r="J10" s="41">
        <f t="shared" si="3"/>
        <v>8.6979741770712618E-2</v>
      </c>
      <c r="K10">
        <f t="shared" si="4"/>
        <v>4</v>
      </c>
      <c r="L10" s="70">
        <v>9.1920312617168723E-2</v>
      </c>
      <c r="M10" s="12">
        <f>Tensions!M46</f>
        <v>6</v>
      </c>
      <c r="N10">
        <v>7.2082209642337434</v>
      </c>
      <c r="O10">
        <v>8.7839909705702528</v>
      </c>
      <c r="P10">
        <v>26.819453484300958</v>
      </c>
      <c r="Q10">
        <f>Tensions!B46</f>
        <v>75</v>
      </c>
      <c r="R10" s="15">
        <v>12.924620184458142</v>
      </c>
      <c r="T10" s="70">
        <v>0.114754602851003</v>
      </c>
      <c r="U10" s="47">
        <f t="shared" si="6"/>
        <v>0.08</v>
      </c>
      <c r="V10" s="15">
        <f t="shared" si="7"/>
        <v>9.9529551683004005</v>
      </c>
      <c r="W10">
        <f t="shared" si="8"/>
        <v>23.235938719613948</v>
      </c>
      <c r="X10">
        <f t="shared" si="9"/>
        <v>35.603444454871209</v>
      </c>
    </row>
    <row r="11" spans="1:25" x14ac:dyDescent="0.15">
      <c r="A11" t="s">
        <v>126</v>
      </c>
      <c r="B11" s="15">
        <f>JsLeverage*JsLength/Modulus</f>
        <v>0.18670365075662149</v>
      </c>
      <c r="C11" t="s">
        <v>16</v>
      </c>
      <c r="D11" t="s">
        <v>125</v>
      </c>
      <c r="F11">
        <f t="shared" si="5"/>
        <v>4.5</v>
      </c>
      <c r="G11" s="15">
        <f t="shared" si="0"/>
        <v>0.36313740208905138</v>
      </c>
      <c r="H11" s="34">
        <f t="shared" si="1"/>
        <v>5.7041680677230033E-2</v>
      </c>
      <c r="I11" s="15">
        <f t="shared" si="2"/>
        <v>7.8883114020842466</v>
      </c>
      <c r="J11" s="41">
        <f t="shared" si="3"/>
        <v>9.998866314003127E-2</v>
      </c>
      <c r="K11">
        <f t="shared" si="4"/>
        <v>4.5</v>
      </c>
      <c r="L11" s="70">
        <v>9.5728346169464601E-2</v>
      </c>
      <c r="M11" s="12">
        <f>Tensions!M47</f>
        <v>7</v>
      </c>
      <c r="N11">
        <v>8.0121476170635297</v>
      </c>
      <c r="O11">
        <v>8.6156307368648974</v>
      </c>
      <c r="P11">
        <v>27.976317754422745</v>
      </c>
      <c r="Q11">
        <f>Tensions!B47</f>
        <v>80</v>
      </c>
      <c r="R11" s="15">
        <v>12.829172772183627</v>
      </c>
      <c r="T11" s="70">
        <v>0.11438836214857477</v>
      </c>
      <c r="U11" s="47">
        <f t="shared" si="6"/>
        <v>0.08</v>
      </c>
      <c r="V11" s="15">
        <f t="shared" si="7"/>
        <v>9.9529551683004005</v>
      </c>
      <c r="W11">
        <f t="shared" si="8"/>
        <v>23.235938719613948</v>
      </c>
      <c r="X11">
        <f t="shared" si="9"/>
        <v>36.591948491287638</v>
      </c>
    </row>
    <row r="12" spans="1:25" x14ac:dyDescent="0.15">
      <c r="A12" t="s">
        <v>127</v>
      </c>
      <c r="B12" s="15">
        <f>JsStretch*JibBase/PivotOffset</f>
        <v>0.80475711533026506</v>
      </c>
      <c r="C12" t="s">
        <v>16</v>
      </c>
      <c r="D12" t="s">
        <v>125</v>
      </c>
      <c r="F12">
        <f t="shared" si="5"/>
        <v>5</v>
      </c>
      <c r="G12" s="15">
        <f t="shared" si="0"/>
        <v>0.40348473505875015</v>
      </c>
      <c r="H12" s="34">
        <f t="shared" si="1"/>
        <v>7.0421662110675243E-2</v>
      </c>
      <c r="I12" s="15">
        <f t="shared" si="2"/>
        <v>8.0767618448088268</v>
      </c>
      <c r="J12" s="41">
        <f t="shared" si="3"/>
        <v>0.11375156776224682</v>
      </c>
      <c r="K12">
        <f t="shared" si="4"/>
        <v>5</v>
      </c>
      <c r="L12" s="70">
        <v>9.9047337899098503E-2</v>
      </c>
      <c r="M12" s="12">
        <f>Tensions!M48</f>
        <v>8</v>
      </c>
      <c r="N12">
        <v>8.7572665249807784</v>
      </c>
      <c r="O12">
        <v>8.4565903775733844</v>
      </c>
      <c r="P12">
        <v>28.989332325343511</v>
      </c>
      <c r="Q12">
        <f>Tensions!B48</f>
        <v>85</v>
      </c>
      <c r="R12" s="15">
        <v>12.733675049152342</v>
      </c>
      <c r="T12" s="70">
        <v>0.11402192839903857</v>
      </c>
      <c r="U12" s="47">
        <f t="shared" si="6"/>
        <v>0.08</v>
      </c>
      <c r="V12" s="15">
        <f t="shared" si="7"/>
        <v>9.9529551683004005</v>
      </c>
      <c r="W12">
        <f t="shared" si="8"/>
        <v>23.235938719613948</v>
      </c>
      <c r="X12">
        <f t="shared" si="9"/>
        <v>37.445922702916896</v>
      </c>
    </row>
    <row r="13" spans="1:25" x14ac:dyDescent="0.15">
      <c r="A13" t="s">
        <v>128</v>
      </c>
      <c r="B13" s="28">
        <f>VLOOKUP(SagForce,SagForceTable,2)+SagIncrement</f>
        <v>15</v>
      </c>
      <c r="C13" t="s">
        <v>16</v>
      </c>
      <c r="F13">
        <f t="shared" si="5"/>
        <v>5.5</v>
      </c>
      <c r="G13" s="15">
        <f t="shared" si="0"/>
        <v>0.44383166785865424</v>
      </c>
      <c r="H13" s="34">
        <f t="shared" si="1"/>
        <v>8.5209989305894851E-2</v>
      </c>
      <c r="I13" s="15">
        <f t="shared" si="2"/>
        <v>8.2850481433330465</v>
      </c>
      <c r="J13" s="41">
        <f t="shared" si="3"/>
        <v>0.12835219866181624</v>
      </c>
      <c r="K13">
        <f t="shared" si="4"/>
        <v>5.5</v>
      </c>
      <c r="L13" s="70">
        <v>0.10210254398969824</v>
      </c>
      <c r="M13" s="12">
        <f>Tensions!M49</f>
        <v>9</v>
      </c>
      <c r="N13">
        <v>9.4721686742738633</v>
      </c>
      <c r="O13">
        <v>8.3024713593952928</v>
      </c>
      <c r="P13">
        <v>29.924793965708268</v>
      </c>
      <c r="Q13">
        <f>Tensions!B49</f>
        <v>90</v>
      </c>
      <c r="R13" s="15">
        <v>12.638127520992807</v>
      </c>
      <c r="T13" s="70">
        <v>0.11365530354253867</v>
      </c>
      <c r="U13" s="47">
        <f t="shared" si="6"/>
        <v>0.08</v>
      </c>
      <c r="V13" s="15">
        <f t="shared" si="7"/>
        <v>9.9529551683004005</v>
      </c>
      <c r="W13">
        <f t="shared" si="8"/>
        <v>23.235938719613948</v>
      </c>
      <c r="X13">
        <f t="shared" si="9"/>
        <v>38.227265325103559</v>
      </c>
    </row>
    <row r="14" spans="1:25" x14ac:dyDescent="0.15">
      <c r="A14" t="s">
        <v>129</v>
      </c>
      <c r="B14" s="23">
        <f>VLOOKUP(SagForce,SagForceTable,2)+SagIncrement*((SagForce-VLOOKUP(SagForce,SagForceTable,1))/(VLOOKUP(FirstCutSag,SagTable,5)-VLOOKUP(SagForce,SagForceTable,1)))</f>
        <v>14.901724119190613</v>
      </c>
      <c r="C14" t="s">
        <v>16</v>
      </c>
      <c r="F14">
        <f t="shared" si="5"/>
        <v>6</v>
      </c>
      <c r="G14" s="15">
        <f t="shared" si="0"/>
        <v>0.48417816048095236</v>
      </c>
      <c r="H14" s="34">
        <f t="shared" si="1"/>
        <v>0.10140664026312152</v>
      </c>
      <c r="I14" s="15">
        <f t="shared" si="2"/>
        <v>8.5131699878010281</v>
      </c>
      <c r="J14" s="41">
        <f t="shared" si="3"/>
        <v>0.14387428847784078</v>
      </c>
      <c r="K14">
        <f t="shared" si="4"/>
        <v>6</v>
      </c>
      <c r="L14" s="70">
        <v>0.10481859750446526</v>
      </c>
      <c r="M14" s="12">
        <f>Tensions!M50</f>
        <v>10</v>
      </c>
      <c r="N14">
        <v>10.15032905127075</v>
      </c>
      <c r="O14">
        <v>8.1533392439087731</v>
      </c>
      <c r="P14">
        <v>30.761258310400326</v>
      </c>
      <c r="Q14">
        <f>Tensions!B50</f>
        <v>95</v>
      </c>
      <c r="R14" s="15">
        <v>12.542530696445541</v>
      </c>
      <c r="T14" s="70">
        <v>0.11328848953116027</v>
      </c>
      <c r="U14" s="47">
        <f t="shared" si="6"/>
        <v>0.08</v>
      </c>
      <c r="V14" s="15">
        <f t="shared" si="7"/>
        <v>9.9529551683004005</v>
      </c>
      <c r="W14">
        <f t="shared" si="8"/>
        <v>23.235938719613948</v>
      </c>
      <c r="X14">
        <f t="shared" si="9"/>
        <v>38.914597554309097</v>
      </c>
    </row>
    <row r="15" spans="1:25" x14ac:dyDescent="0.15">
      <c r="A15" t="s">
        <v>130</v>
      </c>
      <c r="B15" s="50">
        <f>IF(FirstCutSag&gt;=SagTableMaxSag,NA(),VLOOKUP(JsSagTotal,SagTensTable,4)+((FirstCutSag-JsSagTotal)/SagIncrement)*(VLOOKUP(JsSagTotal,SagTensTable,4)-VLOOKUP(FirstCutSag,SagTensTable,4)))</f>
        <v>15.310639205000887</v>
      </c>
      <c r="C15" t="s">
        <v>26</v>
      </c>
      <c r="D15" t="s">
        <v>131</v>
      </c>
      <c r="F15">
        <f t="shared" si="5"/>
        <v>6.5</v>
      </c>
      <c r="G15" s="15">
        <f t="shared" si="0"/>
        <v>0.52452417292045239</v>
      </c>
      <c r="H15" s="34">
        <f t="shared" si="1"/>
        <v>0.11901159088756685</v>
      </c>
      <c r="I15" s="15">
        <f t="shared" si="2"/>
        <v>8.7611270388495548</v>
      </c>
      <c r="J15" s="41">
        <f t="shared" si="3"/>
        <v>0.16040155842637946</v>
      </c>
      <c r="K15">
        <f t="shared" si="4"/>
        <v>6.5</v>
      </c>
      <c r="L15" s="70">
        <v>0.10736863355830338</v>
      </c>
      <c r="M15" s="12">
        <f>Tensions!M51</f>
        <v>11</v>
      </c>
      <c r="N15">
        <v>10.806909006206149</v>
      </c>
      <c r="O15">
        <v>8.0082657342042882</v>
      </c>
      <c r="P15">
        <v>31.548778460887643</v>
      </c>
      <c r="Q15">
        <f>Tensions!B51</f>
        <v>100</v>
      </c>
      <c r="R15" s="15">
        <v>12.443344740784356</v>
      </c>
      <c r="T15" s="70">
        <v>0.11290790368596321</v>
      </c>
      <c r="U15" s="47">
        <f t="shared" si="6"/>
        <v>0.08</v>
      </c>
      <c r="V15" s="15">
        <f t="shared" si="7"/>
        <v>9.9529551683004005</v>
      </c>
      <c r="W15">
        <f t="shared" si="8"/>
        <v>23.235938719613948</v>
      </c>
      <c r="X15">
        <f t="shared" si="9"/>
        <v>39.557044195091933</v>
      </c>
    </row>
    <row r="16" spans="1:25" x14ac:dyDescent="0.15">
      <c r="A16" t="s">
        <v>132</v>
      </c>
      <c r="B16" s="50">
        <f>IF(TlLeverForce&gt;TlTensStatic,0,TlTensStatic-TlLeverForce)</f>
        <v>0</v>
      </c>
      <c r="C16" t="s">
        <v>26</v>
      </c>
      <c r="D16" t="s">
        <v>131</v>
      </c>
      <c r="F16">
        <f t="shared" si="5"/>
        <v>7</v>
      </c>
      <c r="G16" s="15">
        <f t="shared" si="0"/>
        <v>0.56486966517481896</v>
      </c>
      <c r="H16" s="34">
        <f t="shared" si="1"/>
        <v>0.13802481499124042</v>
      </c>
      <c r="I16" s="15">
        <f t="shared" si="2"/>
        <v>9.0289189276336881</v>
      </c>
      <c r="J16" s="41">
        <f t="shared" si="3"/>
        <v>0.17801771726350515</v>
      </c>
      <c r="K16">
        <f t="shared" si="4"/>
        <v>7</v>
      </c>
      <c r="L16" s="70">
        <v>0.10973710500791418</v>
      </c>
      <c r="M16" s="12">
        <f>Tensions!M52</f>
        <v>12</v>
      </c>
      <c r="N16">
        <v>11.446527359508982</v>
      </c>
      <c r="O16">
        <v>7.865084396817922</v>
      </c>
      <c r="P16">
        <v>32.283610577960111</v>
      </c>
      <c r="Q16">
        <f>Tensions!B52</f>
        <v>105</v>
      </c>
      <c r="R16" s="15">
        <v>12.341271175043673</v>
      </c>
      <c r="T16" s="70">
        <v>0.11251623780916914</v>
      </c>
      <c r="U16" s="47">
        <f t="shared" si="6"/>
        <v>0.08</v>
      </c>
      <c r="V16" s="15">
        <f t="shared" si="7"/>
        <v>9.9529551683004005</v>
      </c>
      <c r="W16">
        <f t="shared" si="8"/>
        <v>23.235938719613948</v>
      </c>
      <c r="X16">
        <f t="shared" si="9"/>
        <v>40.148694974778032</v>
      </c>
    </row>
    <row r="17" spans="1:24" x14ac:dyDescent="0.15">
      <c r="A17" t="s">
        <v>133</v>
      </c>
      <c r="B17" s="15">
        <f>DefaultLift+TlRelDist</f>
        <v>2.7669298282061137</v>
      </c>
      <c r="C17" t="s">
        <v>16</v>
      </c>
      <c r="F17">
        <f t="shared" si="5"/>
        <v>7.5</v>
      </c>
      <c r="G17" s="15">
        <f t="shared" si="0"/>
        <v>0.60521459724481175</v>
      </c>
      <c r="H17" s="34">
        <f t="shared" si="1"/>
        <v>0.15844628429158547</v>
      </c>
      <c r="I17" s="15">
        <f t="shared" si="2"/>
        <v>9.3165452558075632</v>
      </c>
      <c r="J17" s="41">
        <f t="shared" si="3"/>
        <v>0.1968064602478905</v>
      </c>
      <c r="K17">
        <f t="shared" si="4"/>
        <v>7.5</v>
      </c>
      <c r="L17" s="70">
        <v>0.1119648127036383</v>
      </c>
      <c r="M17" s="12">
        <f>Tensions!M53</f>
        <v>13</v>
      </c>
      <c r="N17">
        <v>12.06666731531066</v>
      </c>
      <c r="O17">
        <v>7.7249803142335383</v>
      </c>
      <c r="P17">
        <v>32.976599818408324</v>
      </c>
      <c r="Q17">
        <f>Tensions!B53</f>
        <v>110</v>
      </c>
      <c r="R17" s="15">
        <v>12.239145085902514</v>
      </c>
      <c r="T17" s="70">
        <v>0.11212437039514501</v>
      </c>
      <c r="U17" s="47">
        <f t="shared" si="6"/>
        <v>0.08</v>
      </c>
      <c r="V17" s="15">
        <f t="shared" si="7"/>
        <v>9.9529551683004005</v>
      </c>
      <c r="W17">
        <f t="shared" si="8"/>
        <v>23.235938719613948</v>
      </c>
      <c r="X17">
        <f t="shared" si="9"/>
        <v>40.701580132641865</v>
      </c>
    </row>
    <row r="18" spans="1:24" x14ac:dyDescent="0.15">
      <c r="A18" t="s">
        <v>134</v>
      </c>
      <c r="B18" s="13">
        <v>43.746391911943405</v>
      </c>
      <c r="C18" t="s">
        <v>14</v>
      </c>
      <c r="F18">
        <f t="shared" si="5"/>
        <v>8</v>
      </c>
      <c r="G18" s="15">
        <f t="shared" si="0"/>
        <v>0.64555892913452373</v>
      </c>
      <c r="H18" s="34">
        <f t="shared" si="1"/>
        <v>0.18027596841102422</v>
      </c>
      <c r="I18" s="15">
        <f t="shared" si="2"/>
        <v>9.6240055955179677</v>
      </c>
      <c r="J18" s="41">
        <f t="shared" si="3"/>
        <v>0.21685146810379979</v>
      </c>
      <c r="K18">
        <f t="shared" si="4"/>
        <v>8</v>
      </c>
      <c r="L18" s="70">
        <v>0.11404027547238448</v>
      </c>
      <c r="M18" s="12">
        <f>Tensions!M54</f>
        <v>14</v>
      </c>
      <c r="N18">
        <v>12.671184461350204</v>
      </c>
      <c r="O18">
        <v>7.5871301913090434</v>
      </c>
      <c r="P18">
        <v>33.625552853339904</v>
      </c>
      <c r="Q18">
        <f>Tensions!B54</f>
        <v>115</v>
      </c>
      <c r="R18" s="15">
        <v>12.136967068956654</v>
      </c>
      <c r="T18" s="70">
        <v>0.11173230372924789</v>
      </c>
      <c r="U18" s="47">
        <f t="shared" si="6"/>
        <v>0.08</v>
      </c>
      <c r="V18" s="15">
        <f t="shared" si="7"/>
        <v>9.9529551683004005</v>
      </c>
      <c r="W18">
        <f t="shared" si="8"/>
        <v>23.235938719613948</v>
      </c>
      <c r="X18">
        <f t="shared" si="9"/>
        <v>41.212683044648948</v>
      </c>
    </row>
    <row r="19" spans="1:24" x14ac:dyDescent="0.15">
      <c r="A19" t="s">
        <v>82</v>
      </c>
      <c r="B19">
        <f>HLOOKUP(RigNumber,DefaultTable,20)</f>
        <v>3</v>
      </c>
      <c r="C19" t="s">
        <v>16</v>
      </c>
      <c r="F19">
        <f t="shared" si="5"/>
        <v>8.5</v>
      </c>
      <c r="G19" s="15">
        <f t="shared" si="0"/>
        <v>0.68590262085161746</v>
      </c>
      <c r="H19" s="34">
        <f t="shared" si="1"/>
        <v>0.20351383488014108</v>
      </c>
      <c r="I19" s="15">
        <f t="shared" si="2"/>
        <v>9.9512994894491911</v>
      </c>
      <c r="J19" s="41">
        <f t="shared" si="3"/>
        <v>0.23823640598555693</v>
      </c>
      <c r="K19">
        <f t="shared" si="4"/>
        <v>8.5</v>
      </c>
      <c r="L19" s="70">
        <v>0.1158909413765068</v>
      </c>
      <c r="M19" s="12">
        <f>Tensions!M55</f>
        <v>15</v>
      </c>
      <c r="N19">
        <v>13.220765782170407</v>
      </c>
      <c r="O19">
        <v>7.5248740296365977</v>
      </c>
      <c r="P19">
        <v>34.204216693139891</v>
      </c>
      <c r="Q19">
        <f>Tensions!B55</f>
        <v>120</v>
      </c>
      <c r="R19" s="15">
        <v>12.034737723185319</v>
      </c>
      <c r="T19" s="70">
        <v>0.11134004010981741</v>
      </c>
      <c r="U19" s="47">
        <f t="shared" si="6"/>
        <v>0.08</v>
      </c>
      <c r="V19" s="15">
        <f t="shared" si="7"/>
        <v>9.9529551683004005</v>
      </c>
      <c r="W19">
        <f t="shared" si="8"/>
        <v>23.235938719613948</v>
      </c>
      <c r="X19">
        <f t="shared" si="9"/>
        <v>41.72909072277649</v>
      </c>
    </row>
    <row r="20" spans="1:24" x14ac:dyDescent="0.15">
      <c r="A20" t="s">
        <v>135</v>
      </c>
      <c r="B20" s="50">
        <f>JsSagTotal*COS(PI()*JsSagAngle/180)-LuffAllow*COS(PI()*JsSagAngle/180)</f>
        <v>8.5978948534019199</v>
      </c>
      <c r="C20" t="s">
        <v>16</v>
      </c>
      <c r="F20">
        <f t="shared" si="5"/>
        <v>9</v>
      </c>
      <c r="G20" s="15">
        <f t="shared" si="0"/>
        <v>0.72624563240756523</v>
      </c>
      <c r="H20" s="34">
        <f t="shared" si="1"/>
        <v>0.22815984913449938</v>
      </c>
      <c r="I20" s="15">
        <f t="shared" si="2"/>
        <v>10.29842645077818</v>
      </c>
      <c r="J20" s="41">
        <f t="shared" si="3"/>
        <v>0.26104492244044336</v>
      </c>
      <c r="K20">
        <f t="shared" si="4"/>
        <v>9</v>
      </c>
      <c r="L20" s="70">
        <v>0.11687396593725941</v>
      </c>
      <c r="M20" s="12">
        <f>Tensions!M56</f>
        <v>16</v>
      </c>
      <c r="N20">
        <v>13.574517446274678</v>
      </c>
      <c r="O20">
        <v>7.7712030700529526</v>
      </c>
      <c r="P20">
        <v>34.513908546112106</v>
      </c>
      <c r="Q20">
        <f>Tensions!B56</f>
        <v>125</v>
      </c>
      <c r="R20" s="15">
        <v>11.92783674117115</v>
      </c>
      <c r="T20" s="70">
        <v>0.11091543850575901</v>
      </c>
      <c r="U20" s="47">
        <f t="shared" si="6"/>
        <v>0.08</v>
      </c>
      <c r="V20" s="15">
        <f t="shared" si="7"/>
        <v>9.9529551683004005</v>
      </c>
      <c r="W20">
        <f t="shared" si="8"/>
        <v>23.235938719613948</v>
      </c>
      <c r="X20">
        <f t="shared" si="9"/>
        <v>42.285111616165061</v>
      </c>
    </row>
    <row r="21" spans="1:24" x14ac:dyDescent="0.15">
      <c r="A21" t="s">
        <v>136</v>
      </c>
      <c r="B21" s="50">
        <f>JsSagTotal*SIN(PI()*JsSagAngle/180)</f>
        <v>10.304058890605354</v>
      </c>
      <c r="C21" t="s">
        <v>16</v>
      </c>
      <c r="F21">
        <f t="shared" si="5"/>
        <v>9.5</v>
      </c>
      <c r="G21" s="15">
        <f t="shared" si="0"/>
        <v>0.76658792381788365</v>
      </c>
      <c r="H21" s="34">
        <f t="shared" si="1"/>
        <v>0.25421397451691519</v>
      </c>
      <c r="I21" s="15">
        <f t="shared" si="2"/>
        <v>10.665385963206573</v>
      </c>
      <c r="J21" s="41">
        <f t="shared" si="3"/>
        <v>0.28536064837361824</v>
      </c>
      <c r="K21">
        <f t="shared" si="4"/>
        <v>9.5</v>
      </c>
      <c r="L21" s="70">
        <v>0.11758496399132083</v>
      </c>
      <c r="M21" s="12">
        <f>Tensions!M57</f>
        <v>17</v>
      </c>
      <c r="N21">
        <v>13.917894435101889</v>
      </c>
      <c r="O21">
        <v>8.0344656038896307</v>
      </c>
      <c r="P21">
        <v>34.738046176188334</v>
      </c>
      <c r="U21" s="47">
        <f t="shared" si="6"/>
        <v>0.08</v>
      </c>
      <c r="V21" s="15">
        <f t="shared" si="7"/>
        <v>9.9529551683004005</v>
      </c>
      <c r="W21">
        <f t="shared" si="8"/>
        <v>23.235938719613948</v>
      </c>
      <c r="X21">
        <f t="shared" si="9"/>
        <v>42.772511780077963</v>
      </c>
    </row>
    <row r="22" spans="1:24" x14ac:dyDescent="0.15">
      <c r="A22" t="s">
        <v>137</v>
      </c>
      <c r="B22" s="15">
        <f>MidLeechTwist</f>
        <v>8.8736787831954427</v>
      </c>
      <c r="C22" t="s">
        <v>14</v>
      </c>
      <c r="F22">
        <f t="shared" si="5"/>
        <v>10</v>
      </c>
      <c r="G22" s="15">
        <f t="shared" si="0"/>
        <v>0.80692945510237435</v>
      </c>
      <c r="H22" s="34">
        <f t="shared" si="1"/>
        <v>0.28167617227700248</v>
      </c>
      <c r="I22" s="15">
        <f t="shared" si="2"/>
        <v>11.052177480954281</v>
      </c>
      <c r="J22" s="41">
        <f t="shared" si="3"/>
        <v>0.31126719601259578</v>
      </c>
      <c r="K22">
        <f t="shared" si="4"/>
        <v>10</v>
      </c>
      <c r="L22" s="70">
        <v>0.11828631137857754</v>
      </c>
      <c r="M22" s="12">
        <f>Tensions!M58</f>
        <v>18</v>
      </c>
      <c r="N22">
        <v>14.251833330538242</v>
      </c>
      <c r="O22">
        <v>8.3138119732154809</v>
      </c>
      <c r="P22">
        <v>34.959141494722488</v>
      </c>
      <c r="U22" s="47">
        <f t="shared" si="6"/>
        <v>0.08</v>
      </c>
      <c r="V22" s="15">
        <f t="shared" si="7"/>
        <v>9.9529551683004005</v>
      </c>
      <c r="W22">
        <f t="shared" si="8"/>
        <v>23.235938719613948</v>
      </c>
      <c r="X22">
        <f t="shared" si="9"/>
        <v>43.272953467937967</v>
      </c>
    </row>
    <row r="23" spans="1:24" x14ac:dyDescent="0.15">
      <c r="F23">
        <f t="shared" si="5"/>
        <v>10.5</v>
      </c>
      <c r="G23" s="15">
        <f t="shared" si="0"/>
        <v>0.84727018628535977</v>
      </c>
      <c r="H23" s="34">
        <f t="shared" si="1"/>
        <v>0.31054640157253743</v>
      </c>
      <c r="I23" s="15">
        <f t="shared" si="2"/>
        <v>11.458800428778718</v>
      </c>
      <c r="J23" s="41">
        <f t="shared" si="3"/>
        <v>0.3388481578728133</v>
      </c>
      <c r="K23">
        <f t="shared" si="4"/>
        <v>10.5</v>
      </c>
      <c r="L23" s="70">
        <v>0.1189311398971227</v>
      </c>
      <c r="M23" s="12">
        <f>Tensions!M59</f>
        <v>19</v>
      </c>
      <c r="N23">
        <v>14.581350369626627</v>
      </c>
      <c r="O23">
        <v>8.5839723138186947</v>
      </c>
      <c r="P23">
        <v>35.162419598124707</v>
      </c>
      <c r="U23" s="47">
        <f t="shared" si="6"/>
        <v>0.08</v>
      </c>
      <c r="V23" s="15">
        <f t="shared" si="7"/>
        <v>9.9529551683004005</v>
      </c>
      <c r="W23">
        <f t="shared" si="8"/>
        <v>23.235938719613948</v>
      </c>
      <c r="X23">
        <f t="shared" si="9"/>
        <v>43.746391911943405</v>
      </c>
    </row>
    <row r="24" spans="1:24" x14ac:dyDescent="0.15">
      <c r="F24">
        <f t="shared" si="5"/>
        <v>11</v>
      </c>
      <c r="G24" s="15">
        <f t="shared" si="0"/>
        <v>0.8876100773959209</v>
      </c>
      <c r="H24" s="34">
        <f t="shared" si="1"/>
        <v>0.34082461946809417</v>
      </c>
      <c r="I24" s="15">
        <f t="shared" si="2"/>
        <v>11.885254201955572</v>
      </c>
      <c r="J24" s="41">
        <f t="shared" si="3"/>
        <v>0.36818710572258206</v>
      </c>
      <c r="K24">
        <f t="shared" si="4"/>
        <v>11</v>
      </c>
      <c r="L24" s="70">
        <v>0.11952786558974367</v>
      </c>
      <c r="M24" s="12">
        <f>Tensions!M60</f>
        <v>20</v>
      </c>
      <c r="N24">
        <v>14.901724119190613</v>
      </c>
      <c r="O24">
        <v>8.8736787831954427</v>
      </c>
      <c r="P24">
        <v>35.350533590540927</v>
      </c>
      <c r="U24" s="47">
        <f t="shared" si="6"/>
        <v>0.08</v>
      </c>
      <c r="V24" s="15">
        <f t="shared" si="7"/>
        <v>9.9529551683004005</v>
      </c>
      <c r="W24">
        <f t="shared" si="8"/>
        <v>23.235938719613948</v>
      </c>
      <c r="X24">
        <f t="shared" si="9"/>
        <v>44.224212373736371</v>
      </c>
    </row>
    <row r="25" spans="1:24" x14ac:dyDescent="0.15">
      <c r="F25">
        <f t="shared" si="5"/>
        <v>11.5</v>
      </c>
      <c r="G25" s="15">
        <f t="shared" si="0"/>
        <v>0.92794908846813484</v>
      </c>
      <c r="H25" s="34">
        <f t="shared" si="1"/>
        <v>0.37251078093640899</v>
      </c>
      <c r="I25" s="15">
        <f t="shared" si="2"/>
        <v>12.331538166298035</v>
      </c>
      <c r="J25" s="41">
        <f t="shared" si="3"/>
        <v>0.39936758954955154</v>
      </c>
      <c r="K25">
        <f t="shared" si="4"/>
        <v>11.5</v>
      </c>
    </row>
    <row r="26" spans="1:24" x14ac:dyDescent="0.15">
      <c r="F26">
        <f t="shared" si="5"/>
        <v>12</v>
      </c>
      <c r="G26" s="15">
        <f t="shared" si="0"/>
        <v>0.96828717954131283</v>
      </c>
      <c r="H26" s="34">
        <f t="shared" si="1"/>
        <v>0.40560483885838039</v>
      </c>
      <c r="I26" s="15">
        <f t="shared" si="2"/>
        <v>12.797651658156788</v>
      </c>
      <c r="J26" s="41">
        <f t="shared" si="3"/>
        <v>0.43247313652714092</v>
      </c>
      <c r="K26">
        <f t="shared" si="4"/>
        <v>12</v>
      </c>
    </row>
    <row r="27" spans="1:24" x14ac:dyDescent="0.15">
      <c r="F27">
        <f t="shared" si="5"/>
        <v>12.5</v>
      </c>
      <c r="G27" s="15">
        <f t="shared" si="0"/>
        <v>1.0086243106602359</v>
      </c>
      <c r="H27" s="34">
        <f t="shared" si="1"/>
        <v>0.44010674402352379</v>
      </c>
      <c r="I27" s="15">
        <f t="shared" si="2"/>
        <v>13.283593984426412</v>
      </c>
      <c r="J27" s="41">
        <f t="shared" si="3"/>
        <v>0.46758724998166862</v>
      </c>
      <c r="K27">
        <f t="shared" si="4"/>
        <v>12.5</v>
      </c>
    </row>
    <row r="28" spans="1:24" x14ac:dyDescent="0.15">
      <c r="F28">
        <f t="shared" si="5"/>
        <v>13</v>
      </c>
      <c r="G28" s="15">
        <f t="shared" si="0"/>
        <v>1.0489604418753939</v>
      </c>
      <c r="H28" s="34">
        <f t="shared" si="1"/>
        <v>0.47601644513088104</v>
      </c>
      <c r="I28" s="15">
        <f t="shared" si="2"/>
        <v>13.789364422558204</v>
      </c>
      <c r="J28" s="41">
        <f t="shared" si="3"/>
        <v>0.50479340836026887</v>
      </c>
      <c r="K28">
        <f t="shared" si="4"/>
        <v>13</v>
      </c>
    </row>
    <row r="29" spans="1:24" x14ac:dyDescent="0.15">
      <c r="B29" s="27">
        <f>DefaultPivotOffset</f>
        <v>72.5</v>
      </c>
      <c r="F29">
        <f t="shared" si="5"/>
        <v>13.5</v>
      </c>
      <c r="G29" s="15">
        <f t="shared" si="0"/>
        <v>1.0892955332432213</v>
      </c>
      <c r="H29" s="34">
        <f t="shared" si="1"/>
        <v>0.51333388878856567</v>
      </c>
      <c r="I29" s="15">
        <f t="shared" si="2"/>
        <v>14.314962220553763</v>
      </c>
      <c r="J29" s="41">
        <f t="shared" si="3"/>
        <v>0.54417506419870132</v>
      </c>
      <c r="K29">
        <f t="shared" si="4"/>
        <v>13.5</v>
      </c>
    </row>
    <row r="30" spans="1:24" x14ac:dyDescent="0.15">
      <c r="A30" t="s">
        <v>138</v>
      </c>
      <c r="F30">
        <f t="shared" si="5"/>
        <v>14</v>
      </c>
      <c r="G30" s="15">
        <f t="shared" si="0"/>
        <v>1.1296295448263352</v>
      </c>
      <c r="H30" s="34">
        <f t="shared" si="1"/>
        <v>0.55205901951376291</v>
      </c>
      <c r="I30" s="15">
        <f t="shared" si="2"/>
        <v>14.860386596964991</v>
      </c>
      <c r="J30" s="41">
        <f t="shared" si="3"/>
        <v>0.58581564308989975</v>
      </c>
      <c r="K30">
        <f t="shared" si="4"/>
        <v>14</v>
      </c>
    </row>
    <row r="31" spans="1:24" x14ac:dyDescent="0.15">
      <c r="F31">
        <f t="shared" si="5"/>
        <v>14.5</v>
      </c>
      <c r="G31" s="15">
        <f t="shared" si="0"/>
        <v>1.1699624366937704</v>
      </c>
      <c r="H31" s="34">
        <f t="shared" si="1"/>
        <v>0.59219177973500337</v>
      </c>
      <c r="I31" s="15">
        <f t="shared" si="2"/>
        <v>15.425636740926125</v>
      </c>
      <c r="J31" s="41">
        <f t="shared" si="3"/>
        <v>0.62979854265438573</v>
      </c>
      <c r="K31">
        <f t="shared" si="4"/>
        <v>14.5</v>
      </c>
    </row>
    <row r="32" spans="1:24" x14ac:dyDescent="0.15">
      <c r="F32">
        <f t="shared" si="5"/>
        <v>15</v>
      </c>
      <c r="G32" s="15">
        <f t="shared" si="0"/>
        <v>1.2102941689212194</v>
      </c>
      <c r="H32" s="34">
        <f t="shared" si="1"/>
        <v>0.63373210979079886</v>
      </c>
      <c r="I32" s="15">
        <f t="shared" si="2"/>
        <v>16.01071181213451</v>
      </c>
      <c r="J32" s="41">
        <f t="shared" si="3"/>
        <v>0.67620713150937406</v>
      </c>
      <c r="K32">
        <f t="shared" si="4"/>
        <v>15</v>
      </c>
    </row>
    <row r="33" spans="1:11" x14ac:dyDescent="0.15">
      <c r="B33" s="27">
        <f>DefaultWindSpeed</f>
        <v>14.5</v>
      </c>
      <c r="F33">
        <f t="shared" si="5"/>
        <v>15.5</v>
      </c>
      <c r="G33" s="15">
        <f t="shared" si="0"/>
        <v>1.2506247015912662</v>
      </c>
      <c r="H33" s="34">
        <f t="shared" si="1"/>
        <v>0.67667994793100661</v>
      </c>
      <c r="I33" s="15">
        <f t="shared" si="2"/>
        <v>16.615610940869832</v>
      </c>
      <c r="J33" s="41">
        <f t="shared" si="3"/>
        <v>0.72512474823999273</v>
      </c>
      <c r="K33">
        <f t="shared" si="4"/>
        <v>15.5</v>
      </c>
    </row>
    <row r="34" spans="1:11" x14ac:dyDescent="0.15">
      <c r="A34" t="s">
        <v>139</v>
      </c>
      <c r="F34">
        <f t="shared" si="5"/>
        <v>16</v>
      </c>
      <c r="G34" s="15">
        <f t="shared" si="0"/>
        <v>1.2909539947936242</v>
      </c>
      <c r="H34" s="34">
        <f t="shared" si="1"/>
        <v>0.72103523031637451</v>
      </c>
      <c r="I34" s="15">
        <f t="shared" si="2"/>
        <v>17.240333227987691</v>
      </c>
      <c r="J34" s="41">
        <f t="shared" ref="J34:J40" si="10">I34*SIN(2*G34*PI()/180)</f>
        <v>0.77663470037013604</v>
      </c>
      <c r="K34">
        <f t="shared" ref="K34:K40" si="11">F34</f>
        <v>16</v>
      </c>
    </row>
    <row r="35" spans="1:11" x14ac:dyDescent="0.15">
      <c r="F35">
        <f t="shared" si="5"/>
        <v>16.5</v>
      </c>
      <c r="G35" s="15">
        <f t="shared" si="0"/>
        <v>1.3312820086253725</v>
      </c>
      <c r="H35" s="34">
        <f t="shared" si="1"/>
        <v>0.76679789101990536</v>
      </c>
      <c r="I35" s="15">
        <f t="shared" si="2"/>
        <v>17.884877744938827</v>
      </c>
      <c r="J35" s="41">
        <f t="shared" si="10"/>
        <v>0.83082026333509984</v>
      </c>
      <c r="K35">
        <f t="shared" si="11"/>
        <v>16.5</v>
      </c>
    </row>
    <row r="36" spans="1:11" x14ac:dyDescent="0.15">
      <c r="F36">
        <f t="shared" si="5"/>
        <v>17</v>
      </c>
      <c r="G36" s="15">
        <f t="shared" si="0"/>
        <v>1.3716087031911925</v>
      </c>
      <c r="H36" s="34">
        <f t="shared" si="1"/>
        <v>0.81396786202822113</v>
      </c>
      <c r="I36" s="15">
        <f t="shared" si="2"/>
        <v>18.549243533788349</v>
      </c>
      <c r="J36" s="41">
        <f t="shared" si="10"/>
        <v>0.88776467945504511</v>
      </c>
      <c r="K36">
        <f t="shared" si="11"/>
        <v>17</v>
      </c>
    </row>
    <row r="37" spans="1:11" x14ac:dyDescent="0.15">
      <c r="B37">
        <f>DefaultPivotOffset</f>
        <v>72.5</v>
      </c>
      <c r="F37">
        <f t="shared" si="5"/>
        <v>17.5</v>
      </c>
      <c r="G37" s="15">
        <f t="shared" si="0"/>
        <v>1.4119340386036046</v>
      </c>
      <c r="H37" s="34">
        <f t="shared" si="1"/>
        <v>0.86254507323883445</v>
      </c>
      <c r="I37" s="15">
        <f t="shared" si="2"/>
        <v>19.233429607177264</v>
      </c>
      <c r="J37" s="41">
        <f t="shared" si="10"/>
        <v>0.94755115690647174</v>
      </c>
      <c r="K37">
        <f t="shared" si="11"/>
        <v>17.5</v>
      </c>
    </row>
    <row r="38" spans="1:11" x14ac:dyDescent="0.15">
      <c r="A38" t="s">
        <v>140</v>
      </c>
      <c r="F38">
        <f t="shared" si="5"/>
        <v>18</v>
      </c>
      <c r="G38" s="15">
        <f t="shared" si="0"/>
        <v>1.452257974983203</v>
      </c>
      <c r="H38" s="34">
        <f t="shared" si="1"/>
        <v>0.91252945246469608</v>
      </c>
      <c r="I38" s="15">
        <f t="shared" si="2"/>
        <v>19.937434948386585</v>
      </c>
      <c r="J38" s="41">
        <f t="shared" si="10"/>
        <v>1.0102628686992712</v>
      </c>
      <c r="K38">
        <f t="shared" si="11"/>
        <v>18</v>
      </c>
    </row>
    <row r="39" spans="1:11" x14ac:dyDescent="0.15">
      <c r="F39">
        <f t="shared" si="5"/>
        <v>18.5</v>
      </c>
      <c r="G39" s="15">
        <f t="shared" si="0"/>
        <v>1.4925804724588929</v>
      </c>
      <c r="H39" s="34">
        <f t="shared" si="1"/>
        <v>0.96392092543146646</v>
      </c>
      <c r="I39" s="15">
        <f t="shared" si="2"/>
        <v>20.661258511298843</v>
      </c>
      <c r="J39" s="41">
        <f t="shared" si="10"/>
        <v>1.0759829516497095</v>
      </c>
      <c r="K39">
        <f t="shared" si="11"/>
        <v>18.5</v>
      </c>
    </row>
    <row r="40" spans="1:11" x14ac:dyDescent="0.15">
      <c r="F40">
        <f t="shared" si="5"/>
        <v>19</v>
      </c>
      <c r="G40" s="15">
        <f t="shared" si="0"/>
        <v>1.5329014911681267</v>
      </c>
      <c r="H40" s="34">
        <f t="shared" si="1"/>
        <v>1.0167194157797894</v>
      </c>
      <c r="I40" s="15">
        <f t="shared" si="2"/>
        <v>21.404899220430153</v>
      </c>
      <c r="J40" s="41">
        <f t="shared" si="10"/>
        <v>1.1447945053576103</v>
      </c>
      <c r="K40">
        <f t="shared" si="11"/>
        <v>19</v>
      </c>
    </row>
    <row r="41" spans="1:11" x14ac:dyDescent="0.15">
      <c r="F41">
        <f t="shared" si="5"/>
        <v>19.5</v>
      </c>
      <c r="G41" s="15">
        <f t="shared" si="0"/>
        <v>1.5732209912571391</v>
      </c>
      <c r="H41" s="34">
        <f t="shared" si="1"/>
        <v>1.0709248450662017</v>
      </c>
      <c r="I41" s="15">
        <f t="shared" si="2"/>
        <v>22.168355970943004</v>
      </c>
      <c r="J41" s="41">
        <f t="shared" ref="J41:J62" si="12">I41*SIN(2*G41*PI()/180)</f>
        <v>1.2167805911835237</v>
      </c>
      <c r="K41">
        <f t="shared" ref="K41:K62" si="13">F41</f>
        <v>19.5</v>
      </c>
    </row>
    <row r="42" spans="1:11" x14ac:dyDescent="0.15">
      <c r="F42">
        <f t="shared" si="5"/>
        <v>20</v>
      </c>
      <c r="G42" s="15">
        <f t="shared" si="0"/>
        <v>1.6135389328811822</v>
      </c>
      <c r="H42" s="34">
        <f t="shared" si="1"/>
        <v>1.1265371327622233</v>
      </c>
      <c r="I42" s="15">
        <f t="shared" si="2"/>
        <v>22.951627628633446</v>
      </c>
      <c r="J42" s="41">
        <f t="shared" si="12"/>
        <v>1.2920242312253516</v>
      </c>
      <c r="K42">
        <f t="shared" si="13"/>
        <v>20</v>
      </c>
    </row>
    <row r="43" spans="1:11" x14ac:dyDescent="0.15">
      <c r="F43">
        <f t="shared" si="5"/>
        <v>20.5</v>
      </c>
      <c r="G43" s="15">
        <f t="shared" si="0"/>
        <v>1.6538552762047631</v>
      </c>
      <c r="H43" s="34">
        <f t="shared" si="1"/>
        <v>1.1835561962552674</v>
      </c>
      <c r="I43" s="15">
        <f t="shared" si="2"/>
        <v>23.754713029943929</v>
      </c>
      <c r="J43" s="41">
        <f t="shared" si="12"/>
        <v>1.3706084072971658</v>
      </c>
      <c r="K43">
        <f t="shared" si="13"/>
        <v>20.5</v>
      </c>
    </row>
    <row r="44" spans="1:11" x14ac:dyDescent="0.15">
      <c r="F44">
        <f t="shared" si="5"/>
        <v>21</v>
      </c>
      <c r="G44" s="15">
        <f t="shared" si="0"/>
        <v>1.6941699814018769</v>
      </c>
      <c r="H44" s="34">
        <f t="shared" si="1"/>
        <v>1.2419819508509136</v>
      </c>
      <c r="I44" s="15">
        <f t="shared" si="2"/>
        <v>24.577610981995285</v>
      </c>
      <c r="J44" s="41">
        <f t="shared" si="12"/>
        <v>1.4526160599100955</v>
      </c>
      <c r="K44">
        <f t="shared" si="13"/>
        <v>21</v>
      </c>
    </row>
    <row r="45" spans="1:11" x14ac:dyDescent="0.15">
      <c r="F45">
        <f t="shared" si="5"/>
        <v>21.5</v>
      </c>
      <c r="G45" s="15">
        <f t="shared" si="0"/>
        <v>1.7344830086562442</v>
      </c>
      <c r="H45" s="34">
        <f t="shared" si="1"/>
        <v>1.3018143097715438</v>
      </c>
      <c r="I45" s="15">
        <f t="shared" si="2"/>
        <v>25.420320262567536</v>
      </c>
      <c r="J45" s="41">
        <f t="shared" si="12"/>
        <v>1.5381300872512498</v>
      </c>
      <c r="K45">
        <f t="shared" si="13"/>
        <v>21.5</v>
      </c>
    </row>
    <row r="46" spans="1:11" x14ac:dyDescent="0.15">
      <c r="F46">
        <f t="shared" si="5"/>
        <v>22</v>
      </c>
      <c r="G46" s="15">
        <f t="shared" si="0"/>
        <v>1.7747943181615446</v>
      </c>
      <c r="H46" s="34">
        <f t="shared" si="1"/>
        <v>1.3630531841581615</v>
      </c>
      <c r="I46" s="15">
        <f t="shared" si="2"/>
        <v>26.282839620125536</v>
      </c>
      <c r="J46" s="41">
        <f t="shared" si="12"/>
        <v>1.6272333441661284</v>
      </c>
      <c r="K46">
        <f t="shared" si="13"/>
        <v>22</v>
      </c>
    </row>
    <row r="47" spans="1:11" x14ac:dyDescent="0.15">
      <c r="F47">
        <f t="shared" si="5"/>
        <v>22.5</v>
      </c>
      <c r="G47" s="15">
        <f t="shared" si="0"/>
        <v>1.8151038701216524</v>
      </c>
      <c r="H47" s="34">
        <f t="shared" si="1"/>
        <v>1.4256984830694819</v>
      </c>
      <c r="I47" s="15">
        <f t="shared" si="2"/>
        <v>27.165167773806104</v>
      </c>
      <c r="J47" s="41">
        <f t="shared" si="12"/>
        <v>1.7200086411397106</v>
      </c>
      <c r="K47">
        <f t="shared" si="13"/>
        <v>22.5</v>
      </c>
    </row>
    <row r="48" spans="1:11" x14ac:dyDescent="0.15">
      <c r="F48">
        <f t="shared" si="5"/>
        <v>23</v>
      </c>
      <c r="G48" s="15">
        <f t="shared" si="0"/>
        <v>1.8554116247508714</v>
      </c>
      <c r="H48" s="34">
        <f t="shared" si="1"/>
        <v>1.4897501134860249</v>
      </c>
      <c r="I48" s="15">
        <f t="shared" si="2"/>
        <v>28.067303413475727</v>
      </c>
      <c r="J48" s="41">
        <f t="shared" si="12"/>
        <v>1.8165387432829214</v>
      </c>
      <c r="K48">
        <f t="shared" si="13"/>
        <v>23</v>
      </c>
    </row>
    <row r="49" spans="6:11" x14ac:dyDescent="0.15">
      <c r="F49">
        <f t="shared" si="5"/>
        <v>23.5</v>
      </c>
      <c r="G49" s="15">
        <f t="shared" si="0"/>
        <v>1.895717542274169</v>
      </c>
      <c r="H49" s="34">
        <f t="shared" si="1"/>
        <v>1.5552079803060224</v>
      </c>
      <c r="I49" s="15">
        <f t="shared" si="2"/>
        <v>28.989245199672872</v>
      </c>
      <c r="J49" s="41">
        <f t="shared" si="12"/>
        <v>1.9169063693128956</v>
      </c>
      <c r="K49">
        <f t="shared" si="13"/>
        <v>23.5</v>
      </c>
    </row>
    <row r="50" spans="6:11" x14ac:dyDescent="0.15">
      <c r="F50">
        <f t="shared" si="5"/>
        <v>24</v>
      </c>
      <c r="G50" s="15">
        <f t="shared" si="0"/>
        <v>1.9360215829274119</v>
      </c>
      <c r="H50" s="34">
        <f t="shared" si="1"/>
        <v>1.62207198635042</v>
      </c>
      <c r="I50" s="15">
        <f t="shared" si="2"/>
        <v>29.93099176367847</v>
      </c>
      <c r="J50" s="41">
        <f t="shared" si="12"/>
        <v>2.0211941905423725</v>
      </c>
      <c r="K50">
        <f t="shared" si="13"/>
        <v>24</v>
      </c>
    </row>
    <row r="51" spans="6:11" x14ac:dyDescent="0.15">
      <c r="F51">
        <f t="shared" si="5"/>
        <v>24.5</v>
      </c>
      <c r="G51" s="15">
        <f t="shared" si="0"/>
        <v>1.9763237069575992</v>
      </c>
      <c r="H51" s="34">
        <f t="shared" si="1"/>
        <v>1.6903420323615137</v>
      </c>
      <c r="I51" s="15">
        <f t="shared" si="2"/>
        <v>30.89254170749669</v>
      </c>
      <c r="J51" s="41">
        <f t="shared" si="12"/>
        <v>2.1294848298644786</v>
      </c>
      <c r="K51">
        <f t="shared" si="13"/>
        <v>24.5</v>
      </c>
    </row>
    <row r="52" spans="6:11" x14ac:dyDescent="0.15">
      <c r="F52">
        <f t="shared" si="5"/>
        <v>25</v>
      </c>
      <c r="G52" s="15">
        <f t="shared" si="0"/>
        <v>2.016623874623098</v>
      </c>
      <c r="H52" s="34">
        <f t="shared" si="1"/>
        <v>1.7600180170034037</v>
      </c>
      <c r="I52" s="15">
        <f t="shared" si="2"/>
        <v>31.87389360386134</v>
      </c>
      <c r="J52" s="41">
        <f t="shared" si="12"/>
        <v>2.2418608607401609</v>
      </c>
      <c r="K52">
        <f t="shared" si="13"/>
        <v>25</v>
      </c>
    </row>
    <row r="53" spans="6:11" x14ac:dyDescent="0.15">
      <c r="F53">
        <f t="shared" si="5"/>
        <v>25.5</v>
      </c>
      <c r="G53" s="15">
        <f t="shared" si="0"/>
        <v>2.0569220461938751</v>
      </c>
      <c r="H53" s="34">
        <f t="shared" si="1"/>
        <v>1.8310998368638138</v>
      </c>
      <c r="I53" s="15">
        <f t="shared" si="2"/>
        <v>32.875045996261484</v>
      </c>
      <c r="J53" s="41">
        <f t="shared" si="12"/>
        <v>2.3584048061880667</v>
      </c>
      <c r="K53">
        <f t="shared" si="13"/>
        <v>25.5</v>
      </c>
    </row>
    <row r="54" spans="6:11" x14ac:dyDescent="0.15">
      <c r="F54">
        <f t="shared" si="5"/>
        <v>26</v>
      </c>
      <c r="G54" s="15">
        <f t="shared" si="0"/>
        <v>2.0972181819517339</v>
      </c>
      <c r="H54" s="34">
        <f t="shared" si="1"/>
        <v>1.9035873864545465</v>
      </c>
      <c r="I54" s="15">
        <f t="shared" si="2"/>
        <v>33.895997398947856</v>
      </c>
      <c r="J54" s="41">
        <f t="shared" si="12"/>
        <v>2.4791991377742897</v>
      </c>
      <c r="K54">
        <f t="shared" si="13"/>
        <v>26</v>
      </c>
    </row>
    <row r="55" spans="6:11" x14ac:dyDescent="0.15">
      <c r="F55">
        <f t="shared" si="5"/>
        <v>26.5</v>
      </c>
      <c r="G55" s="15">
        <f t="shared" si="0"/>
        <v>2.1375122421905455</v>
      </c>
      <c r="H55" s="34">
        <f t="shared" si="1"/>
        <v>1.9774805582114823</v>
      </c>
      <c r="I55" s="15">
        <f t="shared" si="2"/>
        <v>34.936746296932867</v>
      </c>
      <c r="J55" s="41">
        <f t="shared" si="12"/>
        <v>2.6043262746027454</v>
      </c>
      <c r="K55">
        <f t="shared" si="13"/>
        <v>26.5</v>
      </c>
    </row>
    <row r="56" spans="6:11" x14ac:dyDescent="0.15">
      <c r="F56">
        <f t="shared" si="5"/>
        <v>27</v>
      </c>
      <c r="G56" s="15">
        <f t="shared" si="0"/>
        <v>2.1778041872164833</v>
      </c>
      <c r="H56" s="34">
        <f t="shared" si="1"/>
        <v>2.0527792424968538</v>
      </c>
      <c r="I56" s="15">
        <f t="shared" si="2"/>
        <v>35.997291146022611</v>
      </c>
      <c r="J56" s="41">
        <f t="shared" si="12"/>
        <v>2.7338685823090718</v>
      </c>
      <c r="K56">
        <f t="shared" si="13"/>
        <v>27</v>
      </c>
    </row>
    <row r="57" spans="6:11" x14ac:dyDescent="0.15">
      <c r="F57">
        <f t="shared" si="5"/>
        <v>27.5</v>
      </c>
      <c r="G57" s="15">
        <f t="shared" si="0"/>
        <v>2.218093977348258</v>
      </c>
      <c r="H57" s="34">
        <f t="shared" si="1"/>
        <v>2.1294833275983365</v>
      </c>
      <c r="I57" s="15">
        <f t="shared" si="2"/>
        <v>37.077630372804059</v>
      </c>
      <c r="J57" s="41">
        <f t="shared" si="12"/>
        <v>2.8679083720524376</v>
      </c>
      <c r="K57">
        <f t="shared" si="13"/>
        <v>27.5</v>
      </c>
    </row>
    <row r="58" spans="6:11" x14ac:dyDescent="0.15">
      <c r="F58">
        <f t="shared" si="5"/>
        <v>28</v>
      </c>
      <c r="G58" s="15">
        <f t="shared" si="0"/>
        <v>2.258381572917346</v>
      </c>
      <c r="H58" s="34">
        <f t="shared" si="1"/>
        <v>2.207592699730867</v>
      </c>
      <c r="I58" s="15">
        <f t="shared" si="2"/>
        <v>38.177762374670685</v>
      </c>
      <c r="J58" s="41">
        <f t="shared" si="12"/>
        <v>3.0065278995113855</v>
      </c>
      <c r="K58">
        <f t="shared" si="13"/>
        <v>28</v>
      </c>
    </row>
    <row r="59" spans="6:11" x14ac:dyDescent="0.15">
      <c r="F59">
        <f t="shared" si="5"/>
        <v>28.5</v>
      </c>
      <c r="G59" s="15">
        <f t="shared" si="0"/>
        <v>2.2986669342682271</v>
      </c>
      <c r="H59" s="34">
        <f t="shared" si="1"/>
        <v>2.2871072430384629</v>
      </c>
      <c r="I59" s="15">
        <f t="shared" si="2"/>
        <v>39.297685519848095</v>
      </c>
      <c r="J59" s="41">
        <f t="shared" si="12"/>
        <v>3.1498093638810549</v>
      </c>
      <c r="K59">
        <f t="shared" si="13"/>
        <v>28.5</v>
      </c>
    </row>
    <row r="60" spans="6:11" x14ac:dyDescent="0.15">
      <c r="F60">
        <f t="shared" si="5"/>
        <v>29</v>
      </c>
      <c r="G60" s="15">
        <f t="shared" si="0"/>
        <v>2.3389500217586154</v>
      </c>
      <c r="H60" s="34">
        <f t="shared" si="1"/>
        <v>2.3680268395928579</v>
      </c>
      <c r="I60" s="15">
        <f t="shared" si="2"/>
        <v>40.437398147374779</v>
      </c>
      <c r="J60" s="41">
        <f t="shared" si="12"/>
        <v>3.2978349068681165</v>
      </c>
      <c r="K60">
        <f t="shared" si="13"/>
        <v>29</v>
      </c>
    </row>
    <row r="61" spans="6:11" x14ac:dyDescent="0.15">
      <c r="F61">
        <f t="shared" si="5"/>
        <v>29.5</v>
      </c>
      <c r="G61" s="15">
        <f t="shared" si="0"/>
        <v>2.3792307957596917</v>
      </c>
      <c r="H61" s="34">
        <f t="shared" si="1"/>
        <v>2.4503513693953209</v>
      </c>
      <c r="I61" s="15">
        <f t="shared" si="2"/>
        <v>41.596898567127781</v>
      </c>
      <c r="J61" s="41">
        <f t="shared" si="12"/>
        <v>3.4506866116904567</v>
      </c>
      <c r="K61">
        <f t="shared" si="13"/>
        <v>29.5</v>
      </c>
    </row>
    <row r="62" spans="6:11" x14ac:dyDescent="0.15">
      <c r="F62">
        <f t="shared" si="5"/>
        <v>30</v>
      </c>
      <c r="G62" s="15" t="e">
        <f>NA()</f>
        <v>#N/A</v>
      </c>
      <c r="H62" s="34">
        <f t="shared" si="1"/>
        <v>2.5340807103789302</v>
      </c>
      <c r="I62" s="15">
        <f t="shared" si="2"/>
        <v>42.776185059854676</v>
      </c>
      <c r="J62" s="41" t="e">
        <f t="shared" si="12"/>
        <v>#N/A</v>
      </c>
      <c r="K62">
        <f t="shared" si="13"/>
        <v>30</v>
      </c>
    </row>
    <row r="64" spans="6:11" x14ac:dyDescent="0.15">
      <c r="F64">
        <f>MAX(F3:F62)</f>
        <v>30</v>
      </c>
    </row>
  </sheetData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 macro="[0]!Sag">
                <anchor moveWithCells="1" sizeWithCells="1">
                  <from>
                    <xdr:col>0</xdr:col>
                    <xdr:colOff>104775</xdr:colOff>
                    <xdr:row>27</xdr:row>
                    <xdr:rowOff>85725</xdr:rowOff>
                  </from>
                  <to>
                    <xdr:col>0</xdr:col>
                    <xdr:colOff>1485900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Line="0" autoPict="0" macro="[0]!SagP">
                <anchor moveWithCells="1" sizeWithCells="1">
                  <from>
                    <xdr:col>0</xdr:col>
                    <xdr:colOff>133350</xdr:colOff>
                    <xdr:row>31</xdr:row>
                    <xdr:rowOff>66675</xdr:rowOff>
                  </from>
                  <to>
                    <xdr:col>0</xdr:col>
                    <xdr:colOff>1514475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Button 4">
              <controlPr defaultSize="0" print="0" autoFill="0" autoLine="0" autoPict="0" macro="[0]!TLrelease">
                <anchor moveWithCells="1" sizeWithCells="1">
                  <from>
                    <xdr:col>0</xdr:col>
                    <xdr:colOff>114300</xdr:colOff>
                    <xdr:row>35</xdr:row>
                    <xdr:rowOff>66675</xdr:rowOff>
                  </from>
                  <to>
                    <xdr:col>0</xdr:col>
                    <xdr:colOff>1495425</xdr:colOff>
                    <xdr:row>36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C68"/>
  <sheetViews>
    <sheetView workbookViewId="0">
      <selection activeCell="G5" sqref="G5"/>
    </sheetView>
  </sheetViews>
  <sheetFormatPr defaultRowHeight="12" x14ac:dyDescent="0.15"/>
  <cols>
    <col min="1" max="1" width="22.75" customWidth="1"/>
    <col min="2" max="29" width="9.25" customWidth="1"/>
  </cols>
  <sheetData>
    <row r="2" spans="1:21" x14ac:dyDescent="0.15">
      <c r="B2" s="22" t="s">
        <v>141</v>
      </c>
      <c r="C2" s="22" t="s">
        <v>142</v>
      </c>
    </row>
    <row r="3" spans="1:21" x14ac:dyDescent="0.15">
      <c r="A3" t="s">
        <v>143</v>
      </c>
      <c r="B3" s="62">
        <f>HLOOKUP(RigNumber,DefaultTable,19)</f>
        <v>0.08</v>
      </c>
      <c r="E3" t="s">
        <v>144</v>
      </c>
      <c r="I3" t="s">
        <v>145</v>
      </c>
    </row>
    <row r="4" spans="1:21" x14ac:dyDescent="0.15">
      <c r="A4" t="s">
        <v>146</v>
      </c>
      <c r="B4" s="47">
        <f>HLOOKUP(RigNumber,DefaultTable,22)</f>
        <v>0.4</v>
      </c>
      <c r="G4" s="66">
        <f>B3</f>
        <v>0.08</v>
      </c>
      <c r="K4" s="66">
        <f>B3</f>
        <v>0.08</v>
      </c>
    </row>
    <row r="5" spans="1:21" x14ac:dyDescent="0.15">
      <c r="A5" t="s">
        <v>147</v>
      </c>
      <c r="B5" s="63">
        <f>VLOOKUP($B$3,I19:J68,2)</f>
        <v>1.9333199231259215</v>
      </c>
      <c r="C5" s="63">
        <f>VLOOKUP($B$3,W19:X68,2)</f>
        <v>1.294327484783679</v>
      </c>
      <c r="E5" t="s">
        <v>148</v>
      </c>
      <c r="G5">
        <f>VLOOKUP(NominalDraft,K19:O68,4)</f>
        <v>22.323030979122983</v>
      </c>
      <c r="I5" t="s">
        <v>149</v>
      </c>
      <c r="K5">
        <f>VLOOKUP(NominalDraft,Y19:AC68,4)</f>
        <v>14.882020652748654</v>
      </c>
    </row>
    <row r="6" spans="1:21" x14ac:dyDescent="0.15">
      <c r="A6" t="s">
        <v>150</v>
      </c>
      <c r="B6" s="63">
        <f>VLOOKUP($B$3,I19:L68,4)</f>
        <v>2.197388534481135</v>
      </c>
      <c r="C6" s="63">
        <f>VLOOKUP($B$3,W19:Z68,4)</f>
        <v>1.4719726607206951</v>
      </c>
      <c r="E6" t="s">
        <v>151</v>
      </c>
      <c r="G6">
        <f>VLOOKUP(NominalDraft,K19:O68,5)</f>
        <v>23.811233044397852</v>
      </c>
      <c r="I6" t="s">
        <v>152</v>
      </c>
      <c r="K6">
        <f>VLOOKUP(NominalDraft,Y19:AC68,5)</f>
        <v>15.8741553629319</v>
      </c>
    </row>
    <row r="7" spans="1:21" x14ac:dyDescent="0.15">
      <c r="A7" t="s">
        <v>153</v>
      </c>
      <c r="B7" s="80">
        <f>B5+(B6-B5)*($B$3-VLOOKUP($B$3,K19:M68,1))/(VLOOKUP($B$3,K19:M68,3)-VLOOKUP($B$3,K19:M68,1))</f>
        <v>2.0953075220897417</v>
      </c>
      <c r="C7" s="80">
        <f>C5+(C6-C5)*($B$3-VLOOKUP($B$3,Y19:AA68,1))/(VLOOKUP($B$3,Y19:AA68,3)-VLOOKUP($B$3,Y19:AA68,1))</f>
        <v>1.3819043875148702</v>
      </c>
      <c r="E7" t="s">
        <v>154</v>
      </c>
      <c r="G7" s="51">
        <f>G5+((G6-G5)*(G4-VLOOKUP(G4,K19:O68,1))/(VLOOKUP(G4,K19:O68,3)-VLOOKUP(G4,K19:O68,1)))</f>
        <v>23.235938719613948</v>
      </c>
      <c r="I7" t="s">
        <v>155</v>
      </c>
      <c r="K7" s="51">
        <f>K5+((K6-K5)*(K4-VLOOKUP(K4,Y19:AC68,1))/(VLOOKUP(K4,Y19:AC68,3)-VLOOKUP(K4,Y19:AC68,1)))</f>
        <v>15.371130951137859</v>
      </c>
    </row>
    <row r="8" spans="1:21" x14ac:dyDescent="0.15">
      <c r="A8" t="s">
        <v>156</v>
      </c>
      <c r="B8" s="11">
        <f>JsSagDraft</f>
        <v>8.5978948534019199</v>
      </c>
    </row>
    <row r="9" spans="1:21" x14ac:dyDescent="0.15">
      <c r="A9" t="s">
        <v>157</v>
      </c>
      <c r="B9">
        <f>B8+B7+C7</f>
        <v>12.075106763006533</v>
      </c>
    </row>
    <row r="10" spans="1:21" x14ac:dyDescent="0.15">
      <c r="A10" t="s">
        <v>158</v>
      </c>
      <c r="B10">
        <f>B9*MaxDraft</f>
        <v>4.8300427052026134</v>
      </c>
      <c r="C10">
        <f>B9*(1-MaxDraft)</f>
        <v>7.2450640578039192</v>
      </c>
      <c r="G10" s="65">
        <f>DraftInterp</f>
        <v>0.11995560871217423</v>
      </c>
      <c r="K10" s="65">
        <f>DraftInterp</f>
        <v>0.11995560871217423</v>
      </c>
    </row>
    <row r="11" spans="1:21" x14ac:dyDescent="0.15">
      <c r="A11" t="s">
        <v>159</v>
      </c>
      <c r="B11" s="64">
        <f>VLOOKUP(B10,J19:K68,2)</f>
        <v>0.1159690752784424</v>
      </c>
      <c r="E11" t="s">
        <v>148</v>
      </c>
      <c r="G11">
        <f>VLOOKUP(G10,K19:O68,4)</f>
        <v>34.228647501321909</v>
      </c>
      <c r="I11" t="s">
        <v>149</v>
      </c>
      <c r="K11">
        <f>VLOOKUP(K10,Y19:AC68,4)</f>
        <v>22.819098334214605</v>
      </c>
    </row>
    <row r="12" spans="1:21" x14ac:dyDescent="0.15">
      <c r="A12" t="s">
        <v>160</v>
      </c>
      <c r="B12" s="64">
        <f>VLOOKUP(B10,J19:M68,4)</f>
        <v>0.12068987460205784</v>
      </c>
      <c r="E12" t="s">
        <v>151</v>
      </c>
      <c r="G12">
        <f>VLOOKUP(G10,K19:O68,5)</f>
        <v>35.716849566596771</v>
      </c>
      <c r="I12" t="s">
        <v>152</v>
      </c>
      <c r="K12">
        <f>VLOOKUP(K10,Y19:AC68,5)</f>
        <v>23.811233044397852</v>
      </c>
    </row>
    <row r="13" spans="1:21" x14ac:dyDescent="0.15">
      <c r="A13" t="s">
        <v>161</v>
      </c>
      <c r="B13" s="78">
        <f>(B11+(B12-B11)*(B10-VLOOKUP(B10,J19:M68,1))/(VLOOKUP(B10,J19:M68,3)-VLOOKUP(B10,J19:M68,1)))</f>
        <v>0.11995560871217423</v>
      </c>
      <c r="E13" t="s">
        <v>162</v>
      </c>
      <c r="G13" s="51">
        <f>G11+((G12-G11)*(G10-VLOOKUP(G10,K19:O68,1))/(VLOOKUP(G10,K19:O68,3)-VLOOKUP(G10,K19:O68,1)))</f>
        <v>35.48537689875441</v>
      </c>
      <c r="I13" t="s">
        <v>162</v>
      </c>
      <c r="K13" s="51">
        <f>K11+((K12-K11)*(K10-VLOOKUP(K10,Y19:AC68,1))/(VLOOKUP(K10,Y19:AC68,3)-VLOOKUP(K10,Y19:AC68,1)))</f>
        <v>23.226586289822983</v>
      </c>
    </row>
    <row r="16" spans="1:21" x14ac:dyDescent="0.15">
      <c r="A16" t="s">
        <v>163</v>
      </c>
      <c r="B16">
        <f>JibBoom/2</f>
        <v>192.5</v>
      </c>
      <c r="C16" t="s">
        <v>164</v>
      </c>
      <c r="G16" t="s">
        <v>165</v>
      </c>
      <c r="U16" t="s">
        <v>166</v>
      </c>
    </row>
    <row r="17" spans="1:29" x14ac:dyDescent="0.15">
      <c r="A17" t="s">
        <v>167</v>
      </c>
      <c r="B17">
        <f>JibBoom*MaxDraft/2</f>
        <v>77</v>
      </c>
      <c r="C17" t="s">
        <v>168</v>
      </c>
      <c r="P17">
        <f>JibBoom*(1-MaxDraft)/2</f>
        <v>115.5</v>
      </c>
      <c r="Q17" t="s">
        <v>169</v>
      </c>
    </row>
    <row r="18" spans="1:29" x14ac:dyDescent="0.15">
      <c r="B18" s="22" t="s">
        <v>170</v>
      </c>
      <c r="C18" s="22" t="s">
        <v>171</v>
      </c>
      <c r="D18" s="22" t="s">
        <v>172</v>
      </c>
      <c r="E18" s="22" t="s">
        <v>173</v>
      </c>
      <c r="F18" s="22" t="s">
        <v>174</v>
      </c>
      <c r="G18" s="22" t="s">
        <v>175</v>
      </c>
      <c r="H18" s="22" t="s">
        <v>170</v>
      </c>
      <c r="I18" s="22" t="s">
        <v>176</v>
      </c>
      <c r="J18" s="22" t="s">
        <v>177</v>
      </c>
      <c r="K18" s="22" t="str">
        <f>I18</f>
        <v>% draft</v>
      </c>
      <c r="L18" s="22" t="s">
        <v>178</v>
      </c>
      <c r="M18" s="22" t="s">
        <v>179</v>
      </c>
      <c r="N18" s="22" t="s">
        <v>117</v>
      </c>
      <c r="O18" s="22" t="s">
        <v>151</v>
      </c>
      <c r="P18" s="22" t="s">
        <v>170</v>
      </c>
      <c r="Q18" s="22" t="s">
        <v>171</v>
      </c>
      <c r="R18" s="22" t="s">
        <v>172</v>
      </c>
      <c r="S18" s="22" t="s">
        <v>173</v>
      </c>
      <c r="T18" s="22" t="s">
        <v>174</v>
      </c>
      <c r="U18" s="22" t="s">
        <v>175</v>
      </c>
      <c r="V18" s="22" t="s">
        <v>170</v>
      </c>
      <c r="W18" s="22" t="s">
        <v>176</v>
      </c>
      <c r="X18" s="22" t="s">
        <v>177</v>
      </c>
      <c r="Y18" s="22" t="str">
        <f>W18</f>
        <v>% draft</v>
      </c>
      <c r="Z18" s="22" t="s">
        <v>178</v>
      </c>
      <c r="AA18" s="22" t="s">
        <v>179</v>
      </c>
      <c r="AB18" s="22" t="s">
        <v>180</v>
      </c>
      <c r="AC18" s="22" t="s">
        <v>152</v>
      </c>
    </row>
    <row r="19" spans="1:29" x14ac:dyDescent="0.15">
      <c r="A19">
        <v>1</v>
      </c>
      <c r="B19">
        <v>1</v>
      </c>
      <c r="C19">
        <f t="shared" ref="C19:C50" si="0">$B$17^2/(2*B19)</f>
        <v>2964.5</v>
      </c>
      <c r="D19">
        <f t="shared" ref="D19:D50" si="1">$B$17/C19</f>
        <v>2.5974025974025976E-2</v>
      </c>
      <c r="E19">
        <f>D19*180/PI()</f>
        <v>1.4882020652748658</v>
      </c>
      <c r="F19">
        <f>C19*SIN(D19)</f>
        <v>76.991342283393593</v>
      </c>
      <c r="G19">
        <f>C19*COS(D19)</f>
        <v>2963.5000562195714</v>
      </c>
      <c r="H19">
        <f>C19-G19</f>
        <v>0.99994378042856624</v>
      </c>
      <c r="I19" s="65">
        <f>H19/$B$16</f>
        <v>5.1945131450834613E-3</v>
      </c>
      <c r="J19">
        <f>($B$17-F19)</f>
        <v>8.6577166064074618E-3</v>
      </c>
      <c r="K19" s="65">
        <f t="shared" ref="K19:K68" si="2">I19</f>
        <v>5.1945131450834613E-3</v>
      </c>
      <c r="L19">
        <f>J20</f>
        <v>3.4627362031656617E-2</v>
      </c>
      <c r="M19" s="66">
        <f>K20</f>
        <v>1.0387274149467307E-2</v>
      </c>
      <c r="N19">
        <f>E19</f>
        <v>1.4882020652748658</v>
      </c>
      <c r="O19">
        <f>E20</f>
        <v>2.9764041305497315</v>
      </c>
      <c r="P19">
        <v>1</v>
      </c>
      <c r="Q19">
        <f>$P$17^2/(2*P19)</f>
        <v>6670.125</v>
      </c>
      <c r="R19">
        <f>$P$17/Q19</f>
        <v>1.7316017316017316E-2</v>
      </c>
      <c r="S19">
        <f>R19*180/PI()</f>
        <v>0.99213471018324373</v>
      </c>
      <c r="T19">
        <f>Q19*SIN(R19)</f>
        <v>115.49422808076258</v>
      </c>
      <c r="U19">
        <f>Q19*COS(R19)</f>
        <v>6669.125024986788</v>
      </c>
      <c r="V19">
        <f>Q19-U19</f>
        <v>0.99997501321195159</v>
      </c>
      <c r="W19" s="65">
        <f>V19/$B$16</f>
        <v>5.1946753933088397E-3</v>
      </c>
      <c r="X19">
        <f>($P$17-T19)</f>
        <v>5.7719192374179329E-3</v>
      </c>
      <c r="Y19" s="65">
        <f>W19</f>
        <v>5.1946753933088397E-3</v>
      </c>
      <c r="Z19">
        <f>X20</f>
        <v>2.3086638564407735E-2</v>
      </c>
      <c r="AA19" s="66">
        <f>Y20</f>
        <v>1.0388572008765527E-2</v>
      </c>
      <c r="AB19">
        <f>S19</f>
        <v>0.99213471018324373</v>
      </c>
      <c r="AC19">
        <f>S20</f>
        <v>1.9842694203664875</v>
      </c>
    </row>
    <row r="20" spans="1:29" x14ac:dyDescent="0.15">
      <c r="B20">
        <f t="shared" ref="B20:B51" si="3">B19+$A$19</f>
        <v>2</v>
      </c>
      <c r="C20">
        <f t="shared" si="0"/>
        <v>1482.25</v>
      </c>
      <c r="D20">
        <f t="shared" si="1"/>
        <v>5.1948051948051951E-2</v>
      </c>
      <c r="E20">
        <f t="shared" ref="E20:E68" si="4">D20*180/PI()</f>
        <v>2.9764041305497315</v>
      </c>
      <c r="F20">
        <f t="shared" ref="F20:F68" si="5">C20*SIN(D20)</f>
        <v>76.965372637968343</v>
      </c>
      <c r="G20">
        <f t="shared" ref="G20:G68" si="6">C20*COS(D20)</f>
        <v>1480.2504497262275</v>
      </c>
      <c r="H20">
        <f t="shared" ref="H20:H68" si="7">C20-G20</f>
        <v>1.9995502737724564</v>
      </c>
      <c r="I20" s="65">
        <f t="shared" ref="I20:I68" si="8">H20/$B$16</f>
        <v>1.0387274149467307E-2</v>
      </c>
      <c r="J20">
        <f t="shared" ref="J20:J68" si="9">($B$17-F20)</f>
        <v>3.4627362031656617E-2</v>
      </c>
      <c r="K20" s="65">
        <f t="shared" si="2"/>
        <v>1.0387274149467307E-2</v>
      </c>
      <c r="L20">
        <f t="shared" ref="L20:M67" si="10">J21</f>
        <v>7.7898424782446796E-2</v>
      </c>
      <c r="M20" s="66">
        <f t="shared" si="10"/>
        <v>1.5576531660455846E-2</v>
      </c>
      <c r="N20">
        <f t="shared" ref="N20:N68" si="11">E20</f>
        <v>2.9764041305497315</v>
      </c>
      <c r="O20">
        <f t="shared" ref="O20:O67" si="12">E21</f>
        <v>4.4646061958245964</v>
      </c>
      <c r="P20">
        <f>P19+$A$19</f>
        <v>2</v>
      </c>
      <c r="Q20">
        <f>$P$17^2/(2*P20)</f>
        <v>3335.0625</v>
      </c>
      <c r="R20">
        <f>$P$17/Q20</f>
        <v>3.4632034632034632E-2</v>
      </c>
      <c r="S20">
        <f>R20*180/PI()</f>
        <v>1.9842694203664875</v>
      </c>
      <c r="T20">
        <f>Q20*SIN(R20)</f>
        <v>115.47691336143559</v>
      </c>
      <c r="U20">
        <f>Q20*COS(R20)</f>
        <v>3333.0626998883126</v>
      </c>
      <c r="V20">
        <f>Q20-U20</f>
        <v>1.9998001116873638</v>
      </c>
      <c r="W20" s="65">
        <f t="shared" ref="W20:W68" si="13">V20/$B$16</f>
        <v>1.0388572008765527E-2</v>
      </c>
      <c r="X20">
        <f t="shared" ref="X20:X68" si="14">($P$17-T20)</f>
        <v>2.3086638564407735E-2</v>
      </c>
      <c r="Y20" s="65">
        <f>W20</f>
        <v>1.0388572008765527E-2</v>
      </c>
      <c r="Z20">
        <f>X21</f>
        <v>5.194104304747782E-2</v>
      </c>
      <c r="AA20" s="66">
        <f>Y21</f>
        <v>1.5580911224202141E-2</v>
      </c>
      <c r="AB20">
        <f>S20</f>
        <v>1.9842694203664875</v>
      </c>
      <c r="AC20">
        <f>S21</f>
        <v>2.9764041305497315</v>
      </c>
    </row>
    <row r="21" spans="1:29" x14ac:dyDescent="0.15">
      <c r="B21">
        <f t="shared" si="3"/>
        <v>3</v>
      </c>
      <c r="C21">
        <f t="shared" si="0"/>
        <v>988.16666666666663</v>
      </c>
      <c r="D21">
        <f t="shared" si="1"/>
        <v>7.792207792207792E-2</v>
      </c>
      <c r="E21">
        <f t="shared" si="4"/>
        <v>4.4646061958245964</v>
      </c>
      <c r="F21">
        <f t="shared" si="5"/>
        <v>76.922101575217553</v>
      </c>
      <c r="G21">
        <f t="shared" si="6"/>
        <v>985.16818432202888</v>
      </c>
      <c r="H21">
        <f t="shared" si="7"/>
        <v>2.9984823446377504</v>
      </c>
      <c r="I21" s="65">
        <f t="shared" si="8"/>
        <v>1.5576531660455846E-2</v>
      </c>
      <c r="J21">
        <f t="shared" si="9"/>
        <v>7.7898424782446796E-2</v>
      </c>
      <c r="K21" s="65">
        <f t="shared" si="2"/>
        <v>1.5576531660455846E-2</v>
      </c>
      <c r="L21">
        <f t="shared" si="10"/>
        <v>0.13845339133119694</v>
      </c>
      <c r="M21" s="66">
        <f t="shared" si="10"/>
        <v>2.0760535900979732E-2</v>
      </c>
      <c r="N21">
        <f t="shared" si="11"/>
        <v>4.4646061958245964</v>
      </c>
      <c r="O21">
        <f t="shared" si="12"/>
        <v>5.952808261099463</v>
      </c>
      <c r="P21">
        <f t="shared" ref="P21:P68" si="15">P20+$A$19</f>
        <v>3</v>
      </c>
      <c r="Q21">
        <f t="shared" ref="Q21:Q68" si="16">$P$17^2/(2*P21)</f>
        <v>2223.375</v>
      </c>
      <c r="R21">
        <f t="shared" ref="R21:R68" si="17">$P$17/Q21</f>
        <v>5.1948051948051951E-2</v>
      </c>
      <c r="S21">
        <f t="shared" ref="S21:S68" si="18">R21*180/PI()</f>
        <v>2.9764041305497315</v>
      </c>
      <c r="T21">
        <f t="shared" ref="T21:T68" si="19">Q21*SIN(R21)</f>
        <v>115.44805895695252</v>
      </c>
      <c r="U21">
        <f t="shared" ref="U21:U68" si="20">Q21*COS(R21)</f>
        <v>2220.3756745893411</v>
      </c>
      <c r="V21">
        <f t="shared" ref="V21:V68" si="21">Q21-U21</f>
        <v>2.999325410658912</v>
      </c>
      <c r="W21" s="65">
        <f t="shared" si="13"/>
        <v>1.5580911224202141E-2</v>
      </c>
      <c r="X21">
        <f t="shared" si="14"/>
        <v>5.194104304747782E-2</v>
      </c>
      <c r="Y21" s="65">
        <f t="shared" ref="Y21:Y68" si="22">W21</f>
        <v>1.5580911224202141E-2</v>
      </c>
      <c r="Z21">
        <f t="shared" ref="Z21:Z67" si="23">X22</f>
        <v>9.2329941872094423E-2</v>
      </c>
      <c r="AA21" s="66">
        <f t="shared" ref="AA21:AA67" si="24">Y22</f>
        <v>2.0770914728738907E-2</v>
      </c>
      <c r="AB21">
        <f t="shared" ref="AB21:AB68" si="25">S21</f>
        <v>2.9764041305497315</v>
      </c>
      <c r="AC21">
        <f t="shared" ref="AC21:AC67" si="26">S22</f>
        <v>3.9685388407329749</v>
      </c>
    </row>
    <row r="22" spans="1:29" x14ac:dyDescent="0.15">
      <c r="B22">
        <f t="shared" si="3"/>
        <v>4</v>
      </c>
      <c r="C22">
        <f t="shared" si="0"/>
        <v>741.125</v>
      </c>
      <c r="D22">
        <f t="shared" si="1"/>
        <v>0.1038961038961039</v>
      </c>
      <c r="E22">
        <f t="shared" si="4"/>
        <v>5.952808261099463</v>
      </c>
      <c r="F22">
        <f t="shared" si="5"/>
        <v>76.861546608668803</v>
      </c>
      <c r="G22">
        <f t="shared" si="6"/>
        <v>737.1285968390614</v>
      </c>
      <c r="H22">
        <f t="shared" si="7"/>
        <v>3.9964031609385984</v>
      </c>
      <c r="I22" s="65">
        <f t="shared" si="8"/>
        <v>2.0760535900979732E-2</v>
      </c>
      <c r="J22">
        <f t="shared" si="9"/>
        <v>0.13845339133119694</v>
      </c>
      <c r="K22" s="65">
        <f t="shared" si="2"/>
        <v>2.0760535900979732E-2</v>
      </c>
      <c r="L22">
        <f t="shared" si="10"/>
        <v>0.21626775455503378</v>
      </c>
      <c r="M22" s="66">
        <f t="shared" si="10"/>
        <v>2.5937539456405131E-2</v>
      </c>
      <c r="N22">
        <f t="shared" si="11"/>
        <v>5.952808261099463</v>
      </c>
      <c r="O22">
        <f t="shared" si="12"/>
        <v>7.4410103263743279</v>
      </c>
      <c r="P22">
        <f t="shared" si="15"/>
        <v>4</v>
      </c>
      <c r="Q22">
        <f t="shared" si="16"/>
        <v>1667.53125</v>
      </c>
      <c r="R22">
        <f t="shared" si="17"/>
        <v>6.9264069264069264E-2</v>
      </c>
      <c r="S22">
        <f t="shared" si="18"/>
        <v>3.9685388407329749</v>
      </c>
      <c r="T22">
        <f t="shared" si="19"/>
        <v>115.40767005812791</v>
      </c>
      <c r="U22">
        <f t="shared" si="20"/>
        <v>1663.5328489147178</v>
      </c>
      <c r="V22">
        <f t="shared" si="21"/>
        <v>3.9984010852822394</v>
      </c>
      <c r="W22" s="65">
        <f t="shared" si="13"/>
        <v>2.0770914728738907E-2</v>
      </c>
      <c r="X22">
        <f t="shared" si="14"/>
        <v>9.2329941872094423E-2</v>
      </c>
      <c r="Y22" s="65">
        <f t="shared" si="22"/>
        <v>2.0770914728738907E-2</v>
      </c>
      <c r="Z22">
        <f t="shared" si="23"/>
        <v>0.1442460694542973</v>
      </c>
      <c r="AA22" s="66">
        <f t="shared" si="24"/>
        <v>2.5957804678384561E-2</v>
      </c>
      <c r="AB22">
        <f t="shared" si="25"/>
        <v>3.9685388407329749</v>
      </c>
      <c r="AC22">
        <f t="shared" si="26"/>
        <v>4.9606735509162183</v>
      </c>
    </row>
    <row r="23" spans="1:29" x14ac:dyDescent="0.15">
      <c r="B23">
        <f t="shared" si="3"/>
        <v>5</v>
      </c>
      <c r="C23">
        <f t="shared" si="0"/>
        <v>592.9</v>
      </c>
      <c r="D23">
        <f t="shared" si="1"/>
        <v>0.12987012987012989</v>
      </c>
      <c r="E23">
        <f t="shared" si="4"/>
        <v>7.4410103263743279</v>
      </c>
      <c r="F23">
        <f t="shared" si="5"/>
        <v>76.783732245444966</v>
      </c>
      <c r="G23">
        <f t="shared" si="6"/>
        <v>587.90702365464199</v>
      </c>
      <c r="H23">
        <f t="shared" si="7"/>
        <v>4.9929763453579881</v>
      </c>
      <c r="I23" s="65">
        <f t="shared" si="8"/>
        <v>2.5937539456405131E-2</v>
      </c>
      <c r="J23">
        <f t="shared" si="9"/>
        <v>0.21626775455503378</v>
      </c>
      <c r="K23" s="65">
        <f t="shared" si="2"/>
        <v>2.5937539456405131E-2</v>
      </c>
      <c r="L23">
        <f t="shared" si="10"/>
        <v>0.31131002554384679</v>
      </c>
      <c r="M23" s="66">
        <f t="shared" si="10"/>
        <v>3.1105798060152311E-2</v>
      </c>
      <c r="N23">
        <f t="shared" si="11"/>
        <v>7.4410103263743279</v>
      </c>
      <c r="O23">
        <f t="shared" si="12"/>
        <v>8.9292123916491928</v>
      </c>
      <c r="P23">
        <f t="shared" si="15"/>
        <v>5</v>
      </c>
      <c r="Q23">
        <f t="shared" si="16"/>
        <v>1334.0250000000001</v>
      </c>
      <c r="R23">
        <f t="shared" si="17"/>
        <v>8.6580086580086577E-2</v>
      </c>
      <c r="S23">
        <f t="shared" si="18"/>
        <v>4.9606735509162183</v>
      </c>
      <c r="T23">
        <f t="shared" si="19"/>
        <v>115.3557539305457</v>
      </c>
      <c r="U23">
        <f t="shared" si="20"/>
        <v>1329.0281225994111</v>
      </c>
      <c r="V23">
        <f t="shared" si="21"/>
        <v>4.9968774005890282</v>
      </c>
      <c r="W23" s="65">
        <f t="shared" si="13"/>
        <v>2.5957804678384561E-2</v>
      </c>
      <c r="X23">
        <f t="shared" si="14"/>
        <v>0.1442460694542973</v>
      </c>
      <c r="Y23" s="65">
        <f t="shared" si="22"/>
        <v>2.5957804678384561E-2</v>
      </c>
      <c r="Z23">
        <f t="shared" si="23"/>
        <v>0.20768008699680252</v>
      </c>
      <c r="AA23" s="66">
        <f t="shared" si="24"/>
        <v>3.1140803851470188E-2</v>
      </c>
      <c r="AB23">
        <f t="shared" si="25"/>
        <v>4.9606735509162183</v>
      </c>
      <c r="AC23">
        <f t="shared" si="26"/>
        <v>5.952808261099463</v>
      </c>
    </row>
    <row r="24" spans="1:29" x14ac:dyDescent="0.15">
      <c r="B24">
        <f t="shared" si="3"/>
        <v>6</v>
      </c>
      <c r="C24">
        <f t="shared" si="0"/>
        <v>494.08333333333331</v>
      </c>
      <c r="D24">
        <f t="shared" si="1"/>
        <v>0.15584415584415584</v>
      </c>
      <c r="E24">
        <f t="shared" si="4"/>
        <v>8.9292123916491928</v>
      </c>
      <c r="F24">
        <f t="shared" si="5"/>
        <v>76.688689974456153</v>
      </c>
      <c r="G24">
        <f t="shared" si="6"/>
        <v>488.09546720675399</v>
      </c>
      <c r="H24">
        <f t="shared" si="7"/>
        <v>5.9878661265793198</v>
      </c>
      <c r="I24" s="65">
        <f t="shared" si="8"/>
        <v>3.1105798060152311E-2</v>
      </c>
      <c r="J24">
        <f t="shared" si="9"/>
        <v>0.31131002554384679</v>
      </c>
      <c r="K24" s="65">
        <f t="shared" si="2"/>
        <v>3.1105798060152311E-2</v>
      </c>
      <c r="L24">
        <f t="shared" si="10"/>
        <v>0.42354174877164041</v>
      </c>
      <c r="M24" s="66">
        <f t="shared" si="10"/>
        <v>3.6263571377723458E-2</v>
      </c>
      <c r="N24">
        <f t="shared" si="11"/>
        <v>8.9292123916491928</v>
      </c>
      <c r="O24">
        <f t="shared" si="12"/>
        <v>10.417414456924059</v>
      </c>
      <c r="P24">
        <f t="shared" si="15"/>
        <v>6</v>
      </c>
      <c r="Q24">
        <f t="shared" si="16"/>
        <v>1111.6875</v>
      </c>
      <c r="R24">
        <f t="shared" si="17"/>
        <v>0.1038961038961039</v>
      </c>
      <c r="S24">
        <f t="shared" si="18"/>
        <v>5.952808261099463</v>
      </c>
      <c r="T24">
        <f t="shared" si="19"/>
        <v>115.2923199130032</v>
      </c>
      <c r="U24">
        <f t="shared" si="20"/>
        <v>1105.692895258592</v>
      </c>
      <c r="V24">
        <f t="shared" si="21"/>
        <v>5.9946047414080113</v>
      </c>
      <c r="W24" s="65">
        <f t="shared" si="13"/>
        <v>3.1140803851470188E-2</v>
      </c>
      <c r="X24">
        <f t="shared" si="14"/>
        <v>0.20768008699680252</v>
      </c>
      <c r="Y24" s="65">
        <f t="shared" si="22"/>
        <v>3.1140803851470188E-2</v>
      </c>
      <c r="Z24">
        <f t="shared" si="23"/>
        <v>0.28262058448892446</v>
      </c>
      <c r="AA24" s="66">
        <f t="shared" si="24"/>
        <v>3.6319135803989128E-2</v>
      </c>
      <c r="AB24">
        <f t="shared" si="25"/>
        <v>5.952808261099463</v>
      </c>
      <c r="AC24">
        <f t="shared" si="26"/>
        <v>6.9449429712827069</v>
      </c>
    </row>
    <row r="25" spans="1:29" x14ac:dyDescent="0.15">
      <c r="B25">
        <f t="shared" si="3"/>
        <v>7</v>
      </c>
      <c r="C25">
        <f t="shared" si="0"/>
        <v>423.5</v>
      </c>
      <c r="D25">
        <f t="shared" si="1"/>
        <v>0.18181818181818182</v>
      </c>
      <c r="E25">
        <f t="shared" si="4"/>
        <v>10.417414456924059</v>
      </c>
      <c r="F25">
        <f t="shared" si="5"/>
        <v>76.57645825122836</v>
      </c>
      <c r="G25">
        <f t="shared" si="6"/>
        <v>416.51926250978823</v>
      </c>
      <c r="H25">
        <f t="shared" si="7"/>
        <v>6.9807374902117658</v>
      </c>
      <c r="I25" s="65">
        <f t="shared" si="8"/>
        <v>3.6263571377723458E-2</v>
      </c>
      <c r="J25">
        <f t="shared" si="9"/>
        <v>0.42354174877164041</v>
      </c>
      <c r="K25" s="65">
        <f t="shared" si="2"/>
        <v>3.6263571377723458E-2</v>
      </c>
      <c r="L25">
        <f t="shared" si="10"/>
        <v>0.55291752062318267</v>
      </c>
      <c r="M25" s="66">
        <f t="shared" si="10"/>
        <v>4.1409123788740287E-2</v>
      </c>
      <c r="N25">
        <f t="shared" si="11"/>
        <v>10.417414456924059</v>
      </c>
      <c r="O25">
        <f t="shared" si="12"/>
        <v>11.905616522198926</v>
      </c>
      <c r="P25">
        <f t="shared" si="15"/>
        <v>7</v>
      </c>
      <c r="Q25">
        <f t="shared" si="16"/>
        <v>952.875</v>
      </c>
      <c r="R25">
        <f t="shared" si="17"/>
        <v>0.12121212121212122</v>
      </c>
      <c r="S25">
        <f t="shared" si="18"/>
        <v>6.9449429712827069</v>
      </c>
      <c r="T25">
        <f t="shared" si="19"/>
        <v>115.21737941551108</v>
      </c>
      <c r="U25">
        <f t="shared" si="20"/>
        <v>945.88356635773209</v>
      </c>
      <c r="V25">
        <f t="shared" si="21"/>
        <v>6.9914336422679071</v>
      </c>
      <c r="W25" s="65">
        <f t="shared" si="13"/>
        <v>3.6319135803989128E-2</v>
      </c>
      <c r="X25">
        <f t="shared" si="14"/>
        <v>0.28262058448892446</v>
      </c>
      <c r="Y25" s="65">
        <f t="shared" si="22"/>
        <v>3.6319135803989128E-2</v>
      </c>
      <c r="Z25">
        <f t="shared" si="23"/>
        <v>0.36905408315000443</v>
      </c>
      <c r="AA25" s="66">
        <f t="shared" si="24"/>
        <v>4.1492025024732572E-2</v>
      </c>
      <c r="AB25">
        <f t="shared" si="25"/>
        <v>6.9449429712827069</v>
      </c>
      <c r="AC25">
        <f t="shared" si="26"/>
        <v>7.9370776814659498</v>
      </c>
    </row>
    <row r="26" spans="1:29" x14ac:dyDescent="0.15">
      <c r="B26">
        <f t="shared" si="3"/>
        <v>8</v>
      </c>
      <c r="C26">
        <f t="shared" si="0"/>
        <v>370.5625</v>
      </c>
      <c r="D26">
        <f t="shared" si="1"/>
        <v>0.20779220779220781</v>
      </c>
      <c r="E26">
        <f t="shared" si="4"/>
        <v>11.905616522198926</v>
      </c>
      <c r="F26">
        <f t="shared" si="5"/>
        <v>76.447082479376817</v>
      </c>
      <c r="G26">
        <f t="shared" si="6"/>
        <v>362.5912436706675</v>
      </c>
      <c r="H26">
        <f t="shared" si="7"/>
        <v>7.9712563293325047</v>
      </c>
      <c r="I26" s="65">
        <f t="shared" si="8"/>
        <v>4.1409123788740287E-2</v>
      </c>
      <c r="J26">
        <f t="shared" si="9"/>
        <v>0.55291752062318267</v>
      </c>
      <c r="K26" s="65">
        <f t="shared" si="2"/>
        <v>4.1409123788740287E-2</v>
      </c>
      <c r="L26">
        <f t="shared" si="10"/>
        <v>0.69938501126587482</v>
      </c>
      <c r="M26" s="66">
        <f t="shared" si="10"/>
        <v>4.6540725166595347E-2</v>
      </c>
      <c r="N26">
        <f t="shared" si="11"/>
        <v>11.905616522198926</v>
      </c>
      <c r="O26">
        <f t="shared" si="12"/>
        <v>13.393818587473788</v>
      </c>
      <c r="P26">
        <f t="shared" si="15"/>
        <v>8</v>
      </c>
      <c r="Q26">
        <f t="shared" si="16"/>
        <v>833.765625</v>
      </c>
      <c r="R26">
        <f t="shared" si="17"/>
        <v>0.13852813852813853</v>
      </c>
      <c r="S26">
        <f t="shared" si="18"/>
        <v>7.9370776814659498</v>
      </c>
      <c r="T26">
        <f t="shared" si="19"/>
        <v>115.13094591685</v>
      </c>
      <c r="U26">
        <f t="shared" si="20"/>
        <v>825.77841018273898</v>
      </c>
      <c r="V26">
        <f t="shared" si="21"/>
        <v>7.9872148172610196</v>
      </c>
      <c r="W26" s="65">
        <f t="shared" si="13"/>
        <v>4.1492025024732572E-2</v>
      </c>
      <c r="X26">
        <f t="shared" si="14"/>
        <v>0.36905408315000443</v>
      </c>
      <c r="Y26" s="65">
        <f t="shared" si="22"/>
        <v>4.1492025024732572E-2</v>
      </c>
      <c r="Z26">
        <f t="shared" si="23"/>
        <v>0.46696503831576308</v>
      </c>
      <c r="AA26" s="66">
        <f t="shared" si="24"/>
        <v>4.665869709022847E-2</v>
      </c>
      <c r="AB26">
        <f t="shared" si="25"/>
        <v>7.9370776814659498</v>
      </c>
      <c r="AC26">
        <f t="shared" si="26"/>
        <v>8.9292123916491928</v>
      </c>
    </row>
    <row r="27" spans="1:29" x14ac:dyDescent="0.15">
      <c r="B27">
        <f t="shared" si="3"/>
        <v>9</v>
      </c>
      <c r="C27">
        <f t="shared" si="0"/>
        <v>329.38888888888891</v>
      </c>
      <c r="D27">
        <f t="shared" si="1"/>
        <v>0.23376623376623376</v>
      </c>
      <c r="E27">
        <f t="shared" si="4"/>
        <v>13.393818587473788</v>
      </c>
      <c r="F27">
        <f t="shared" si="5"/>
        <v>76.300614988734125</v>
      </c>
      <c r="G27">
        <f t="shared" si="6"/>
        <v>320.42979929431931</v>
      </c>
      <c r="H27">
        <f t="shared" si="7"/>
        <v>8.9590895945696047</v>
      </c>
      <c r="I27" s="65">
        <f t="shared" si="8"/>
        <v>4.6540725166595347E-2</v>
      </c>
      <c r="J27">
        <f t="shared" si="9"/>
        <v>0.69938501126587482</v>
      </c>
      <c r="K27" s="65">
        <f t="shared" si="2"/>
        <v>4.6540725166595347E-2</v>
      </c>
      <c r="L27">
        <f t="shared" si="10"/>
        <v>0.86288498985577178</v>
      </c>
      <c r="M27" s="66">
        <f t="shared" si="10"/>
        <v>5.1656651655325611E-2</v>
      </c>
      <c r="N27">
        <f t="shared" si="11"/>
        <v>13.393818587473788</v>
      </c>
      <c r="O27">
        <f t="shared" si="12"/>
        <v>14.882020652748656</v>
      </c>
      <c r="P27">
        <f t="shared" si="15"/>
        <v>9</v>
      </c>
      <c r="Q27">
        <f t="shared" si="16"/>
        <v>741.125</v>
      </c>
      <c r="R27">
        <f t="shared" si="17"/>
        <v>0.15584415584415584</v>
      </c>
      <c r="S27">
        <f t="shared" si="18"/>
        <v>8.9292123916491928</v>
      </c>
      <c r="T27">
        <f t="shared" si="19"/>
        <v>115.03303496168424</v>
      </c>
      <c r="U27">
        <f t="shared" si="20"/>
        <v>732.14320081013102</v>
      </c>
      <c r="V27">
        <f t="shared" si="21"/>
        <v>8.9817991898689797</v>
      </c>
      <c r="W27" s="65">
        <f t="shared" si="13"/>
        <v>4.665869709022847E-2</v>
      </c>
      <c r="X27">
        <f t="shared" si="14"/>
        <v>0.46696503831576308</v>
      </c>
      <c r="Y27" s="65">
        <f t="shared" si="22"/>
        <v>4.665869709022847E-2</v>
      </c>
      <c r="Z27">
        <f t="shared" si="23"/>
        <v>0.57633584276696581</v>
      </c>
      <c r="AA27" s="66">
        <f t="shared" si="24"/>
        <v>5.1818378819434185E-2</v>
      </c>
      <c r="AB27">
        <f t="shared" si="25"/>
        <v>8.9292123916491928</v>
      </c>
      <c r="AC27">
        <f t="shared" si="26"/>
        <v>9.9213471018324366</v>
      </c>
    </row>
    <row r="28" spans="1:29" x14ac:dyDescent="0.15">
      <c r="B28">
        <f t="shared" si="3"/>
        <v>10</v>
      </c>
      <c r="C28">
        <f t="shared" si="0"/>
        <v>296.45</v>
      </c>
      <c r="D28">
        <f t="shared" si="1"/>
        <v>0.25974025974025977</v>
      </c>
      <c r="E28">
        <f t="shared" si="4"/>
        <v>14.882020652748656</v>
      </c>
      <c r="F28">
        <f t="shared" si="5"/>
        <v>76.137115010144228</v>
      </c>
      <c r="G28">
        <f t="shared" si="6"/>
        <v>286.50609455634981</v>
      </c>
      <c r="H28">
        <f t="shared" si="7"/>
        <v>9.9439054436501806</v>
      </c>
      <c r="I28" s="65">
        <f t="shared" si="8"/>
        <v>5.1656651655325611E-2</v>
      </c>
      <c r="J28">
        <f t="shared" si="9"/>
        <v>0.86288498985577178</v>
      </c>
      <c r="K28" s="65">
        <f t="shared" si="2"/>
        <v>5.1656651655325611E-2</v>
      </c>
      <c r="L28">
        <f t="shared" si="10"/>
        <v>1.0433513530644234</v>
      </c>
      <c r="M28" s="66">
        <f t="shared" si="10"/>
        <v>5.6755186443315737E-2</v>
      </c>
      <c r="N28">
        <f t="shared" si="11"/>
        <v>14.882020652748656</v>
      </c>
      <c r="O28">
        <f t="shared" si="12"/>
        <v>16.37022271802352</v>
      </c>
      <c r="P28">
        <f t="shared" si="15"/>
        <v>10</v>
      </c>
      <c r="Q28">
        <f t="shared" si="16"/>
        <v>667.01250000000005</v>
      </c>
      <c r="R28">
        <f t="shared" si="17"/>
        <v>0.17316017316017315</v>
      </c>
      <c r="S28">
        <f t="shared" si="18"/>
        <v>9.9213471018324366</v>
      </c>
      <c r="T28">
        <f t="shared" si="19"/>
        <v>114.92366415723303</v>
      </c>
      <c r="U28">
        <f t="shared" si="20"/>
        <v>657.03746207725897</v>
      </c>
      <c r="V28">
        <f t="shared" si="21"/>
        <v>9.9750379227410804</v>
      </c>
      <c r="W28" s="65">
        <f t="shared" si="13"/>
        <v>5.1818378819434185E-2</v>
      </c>
      <c r="X28">
        <f t="shared" si="14"/>
        <v>0.57633584276696581</v>
      </c>
      <c r="Y28" s="65">
        <f t="shared" si="22"/>
        <v>5.1818378819434185E-2</v>
      </c>
      <c r="Z28">
        <f t="shared" si="23"/>
        <v>0.69714683049946302</v>
      </c>
      <c r="AA28" s="66">
        <f t="shared" si="24"/>
        <v>5.6970298428148616E-2</v>
      </c>
      <c r="AB28">
        <f t="shared" si="25"/>
        <v>9.9213471018324366</v>
      </c>
      <c r="AC28">
        <f t="shared" si="26"/>
        <v>10.91348181201568</v>
      </c>
    </row>
    <row r="29" spans="1:29" x14ac:dyDescent="0.15">
      <c r="B29">
        <f t="shared" si="3"/>
        <v>11</v>
      </c>
      <c r="C29">
        <f t="shared" si="0"/>
        <v>269.5</v>
      </c>
      <c r="D29">
        <f t="shared" si="1"/>
        <v>0.2857142857142857</v>
      </c>
      <c r="E29">
        <f t="shared" si="4"/>
        <v>16.37022271802352</v>
      </c>
      <c r="F29">
        <f t="shared" si="5"/>
        <v>75.956648646935577</v>
      </c>
      <c r="G29">
        <f t="shared" si="6"/>
        <v>258.57462660966172</v>
      </c>
      <c r="H29">
        <f t="shared" si="7"/>
        <v>10.925373390338279</v>
      </c>
      <c r="I29" s="65">
        <f t="shared" si="8"/>
        <v>5.6755186443315737E-2</v>
      </c>
      <c r="J29">
        <f t="shared" si="9"/>
        <v>1.0433513530644234</v>
      </c>
      <c r="K29" s="65">
        <f t="shared" si="2"/>
        <v>5.6755186443315737E-2</v>
      </c>
      <c r="L29">
        <f t="shared" si="10"/>
        <v>1.2407111569112743</v>
      </c>
      <c r="M29" s="66">
        <f t="shared" si="10"/>
        <v>6.1834620533437086E-2</v>
      </c>
      <c r="N29">
        <f t="shared" si="11"/>
        <v>16.37022271802352</v>
      </c>
      <c r="O29">
        <f t="shared" si="12"/>
        <v>17.858424783298386</v>
      </c>
      <c r="P29">
        <f t="shared" si="15"/>
        <v>11</v>
      </c>
      <c r="Q29">
        <f t="shared" si="16"/>
        <v>606.375</v>
      </c>
      <c r="R29">
        <f t="shared" si="17"/>
        <v>0.19047619047619047</v>
      </c>
      <c r="S29">
        <f t="shared" si="18"/>
        <v>10.91348181201568</v>
      </c>
      <c r="T29">
        <f t="shared" si="19"/>
        <v>114.80285316950054</v>
      </c>
      <c r="U29">
        <f t="shared" si="20"/>
        <v>595.40821755258139</v>
      </c>
      <c r="V29">
        <f t="shared" si="21"/>
        <v>10.966782447418609</v>
      </c>
      <c r="W29" s="65">
        <f t="shared" si="13"/>
        <v>5.6970298428148616E-2</v>
      </c>
      <c r="X29">
        <f t="shared" si="14"/>
        <v>0.69714683049946302</v>
      </c>
      <c r="Y29" s="65">
        <f t="shared" si="22"/>
        <v>5.6970298428148616E-2</v>
      </c>
      <c r="Z29">
        <f t="shared" si="23"/>
        <v>0.82937628093478111</v>
      </c>
      <c r="AA29" s="66">
        <f t="shared" si="24"/>
        <v>6.2113685683110723E-2</v>
      </c>
      <c r="AB29">
        <f t="shared" si="25"/>
        <v>10.91348181201568</v>
      </c>
      <c r="AC29">
        <f t="shared" si="26"/>
        <v>11.905616522198926</v>
      </c>
    </row>
    <row r="30" spans="1:29" x14ac:dyDescent="0.15">
      <c r="B30">
        <f t="shared" si="3"/>
        <v>12</v>
      </c>
      <c r="C30">
        <f t="shared" si="0"/>
        <v>247.04166666666666</v>
      </c>
      <c r="D30">
        <f t="shared" si="1"/>
        <v>0.31168831168831168</v>
      </c>
      <c r="E30">
        <f t="shared" si="4"/>
        <v>17.858424783298386</v>
      </c>
      <c r="F30">
        <f t="shared" si="5"/>
        <v>75.759288843088726</v>
      </c>
      <c r="G30">
        <f t="shared" si="6"/>
        <v>235.13850221398002</v>
      </c>
      <c r="H30">
        <f t="shared" si="7"/>
        <v>11.903164452686639</v>
      </c>
      <c r="I30" s="65">
        <f t="shared" si="8"/>
        <v>6.1834620533437086E-2</v>
      </c>
      <c r="J30">
        <f t="shared" si="9"/>
        <v>1.2407111569112743</v>
      </c>
      <c r="K30" s="65">
        <f t="shared" si="2"/>
        <v>6.1834620533437086E-2</v>
      </c>
      <c r="L30">
        <f t="shared" si="10"/>
        <v>1.454884651885493</v>
      </c>
      <c r="M30" s="66">
        <f t="shared" si="10"/>
        <v>6.689325350923514E-2</v>
      </c>
      <c r="N30">
        <f t="shared" si="11"/>
        <v>17.858424783298386</v>
      </c>
      <c r="O30">
        <f t="shared" si="12"/>
        <v>19.346626848573251</v>
      </c>
      <c r="P30">
        <f t="shared" si="15"/>
        <v>12</v>
      </c>
      <c r="Q30">
        <f t="shared" si="16"/>
        <v>555.84375</v>
      </c>
      <c r="R30">
        <f t="shared" si="17"/>
        <v>0.20779220779220781</v>
      </c>
      <c r="S30">
        <f t="shared" si="18"/>
        <v>11.905616522198926</v>
      </c>
      <c r="T30">
        <f t="shared" si="19"/>
        <v>114.67062371906522</v>
      </c>
      <c r="U30">
        <f t="shared" si="20"/>
        <v>543.88686550600119</v>
      </c>
      <c r="V30">
        <f t="shared" si="21"/>
        <v>11.956884493998814</v>
      </c>
      <c r="W30" s="65">
        <f t="shared" si="13"/>
        <v>6.2113685683110723E-2</v>
      </c>
      <c r="X30">
        <f t="shared" si="14"/>
        <v>0.82937628093478111</v>
      </c>
      <c r="Y30" s="65">
        <f t="shared" si="22"/>
        <v>6.2113685683110723E-2</v>
      </c>
      <c r="Z30">
        <f t="shared" si="23"/>
        <v>0.97300042357052519</v>
      </c>
      <c r="AA30" s="66">
        <f t="shared" si="24"/>
        <v>6.7247772055747806E-2</v>
      </c>
      <c r="AB30">
        <f t="shared" si="25"/>
        <v>11.905616522198926</v>
      </c>
      <c r="AC30">
        <f t="shared" si="26"/>
        <v>12.89775123238217</v>
      </c>
    </row>
    <row r="31" spans="1:29" x14ac:dyDescent="0.15">
      <c r="B31">
        <f t="shared" si="3"/>
        <v>13</v>
      </c>
      <c r="C31">
        <f t="shared" si="0"/>
        <v>228.03846153846155</v>
      </c>
      <c r="D31">
        <f t="shared" si="1"/>
        <v>0.33766233766233766</v>
      </c>
      <c r="E31">
        <f t="shared" si="4"/>
        <v>19.346626848573251</v>
      </c>
      <c r="F31">
        <f t="shared" si="5"/>
        <v>75.545115348114507</v>
      </c>
      <c r="G31">
        <f t="shared" si="6"/>
        <v>215.16151023793378</v>
      </c>
      <c r="H31">
        <f t="shared" si="7"/>
        <v>12.876951300527764</v>
      </c>
      <c r="I31" s="65">
        <f t="shared" si="8"/>
        <v>6.689325350923514E-2</v>
      </c>
      <c r="J31">
        <f t="shared" si="9"/>
        <v>1.454884651885493</v>
      </c>
      <c r="K31" s="65">
        <f t="shared" si="2"/>
        <v>6.689325350923514E-2</v>
      </c>
      <c r="L31">
        <f t="shared" si="10"/>
        <v>1.6857853213383152</v>
      </c>
      <c r="M31" s="66">
        <f t="shared" si="10"/>
        <v>7.1929394296780011E-2</v>
      </c>
      <c r="N31">
        <f t="shared" si="11"/>
        <v>19.346626848573251</v>
      </c>
      <c r="O31">
        <f t="shared" si="12"/>
        <v>20.834828913848117</v>
      </c>
      <c r="P31">
        <f t="shared" si="15"/>
        <v>13</v>
      </c>
      <c r="Q31">
        <f t="shared" si="16"/>
        <v>513.08653846153845</v>
      </c>
      <c r="R31">
        <f t="shared" si="17"/>
        <v>0.22510822510822512</v>
      </c>
      <c r="S31">
        <f t="shared" si="18"/>
        <v>12.89775123238217</v>
      </c>
      <c r="T31">
        <f t="shared" si="19"/>
        <v>114.52699957642947</v>
      </c>
      <c r="U31">
        <f t="shared" si="20"/>
        <v>500.141342340807</v>
      </c>
      <c r="V31">
        <f t="shared" si="21"/>
        <v>12.945196120731453</v>
      </c>
      <c r="W31" s="65">
        <f t="shared" si="13"/>
        <v>6.7247772055747806E-2</v>
      </c>
      <c r="X31">
        <f t="shared" si="14"/>
        <v>0.97300042357052519</v>
      </c>
      <c r="Y31" s="65">
        <f t="shared" si="22"/>
        <v>6.7247772055747806E-2</v>
      </c>
      <c r="Z31">
        <f t="shared" si="23"/>
        <v>1.1279934430690588</v>
      </c>
      <c r="AA31" s="66">
        <f t="shared" si="24"/>
        <v>7.2371790875544406E-2</v>
      </c>
      <c r="AB31">
        <f t="shared" si="25"/>
        <v>12.89775123238217</v>
      </c>
      <c r="AC31">
        <f t="shared" si="26"/>
        <v>13.889885942565414</v>
      </c>
    </row>
    <row r="32" spans="1:29" x14ac:dyDescent="0.15">
      <c r="B32">
        <f t="shared" si="3"/>
        <v>14</v>
      </c>
      <c r="C32">
        <f t="shared" si="0"/>
        <v>211.75</v>
      </c>
      <c r="D32">
        <f t="shared" si="1"/>
        <v>0.36363636363636365</v>
      </c>
      <c r="E32">
        <f t="shared" si="4"/>
        <v>20.834828913848117</v>
      </c>
      <c r="F32">
        <f t="shared" si="5"/>
        <v>75.314214678661685</v>
      </c>
      <c r="G32">
        <f t="shared" si="6"/>
        <v>197.90359159786985</v>
      </c>
      <c r="H32">
        <f t="shared" si="7"/>
        <v>13.846408402130152</v>
      </c>
      <c r="I32" s="65">
        <f t="shared" si="8"/>
        <v>7.1929394296780011E-2</v>
      </c>
      <c r="J32">
        <f t="shared" si="9"/>
        <v>1.6857853213383152</v>
      </c>
      <c r="K32" s="65">
        <f t="shared" si="2"/>
        <v>7.1929394296780011E-2</v>
      </c>
      <c r="L32">
        <f t="shared" si="10"/>
        <v>1.9333199231259215</v>
      </c>
      <c r="M32" s="66">
        <f t="shared" si="10"/>
        <v>7.6941361921791657E-2</v>
      </c>
      <c r="N32">
        <f t="shared" si="11"/>
        <v>20.834828913848117</v>
      </c>
      <c r="O32">
        <f t="shared" si="12"/>
        <v>22.323030979122983</v>
      </c>
      <c r="P32">
        <f t="shared" si="15"/>
        <v>14</v>
      </c>
      <c r="Q32">
        <f t="shared" si="16"/>
        <v>476.4375</v>
      </c>
      <c r="R32">
        <f t="shared" si="17"/>
        <v>0.24242424242424243</v>
      </c>
      <c r="S32">
        <f t="shared" si="18"/>
        <v>13.889885942565414</v>
      </c>
      <c r="T32">
        <f t="shared" si="19"/>
        <v>114.37200655693094</v>
      </c>
      <c r="U32">
        <f t="shared" si="20"/>
        <v>462.5059302564577</v>
      </c>
      <c r="V32">
        <f t="shared" si="21"/>
        <v>13.931569743542298</v>
      </c>
      <c r="W32" s="65">
        <f t="shared" si="13"/>
        <v>7.2371790875544406E-2</v>
      </c>
      <c r="X32">
        <f t="shared" si="14"/>
        <v>1.1279934430690588</v>
      </c>
      <c r="Y32" s="65">
        <f t="shared" si="22"/>
        <v>7.2371790875544406E-2</v>
      </c>
      <c r="Z32">
        <f t="shared" si="23"/>
        <v>1.294327484783679</v>
      </c>
      <c r="AA32" s="66">
        <f t="shared" si="24"/>
        <v>7.7484977482988271E-2</v>
      </c>
      <c r="AB32">
        <f t="shared" si="25"/>
        <v>13.889885942565414</v>
      </c>
      <c r="AC32">
        <f t="shared" si="26"/>
        <v>14.882020652748654</v>
      </c>
    </row>
    <row r="33" spans="2:29" x14ac:dyDescent="0.15">
      <c r="B33">
        <f t="shared" si="3"/>
        <v>15</v>
      </c>
      <c r="C33">
        <f t="shared" si="0"/>
        <v>197.63333333333333</v>
      </c>
      <c r="D33">
        <f t="shared" si="1"/>
        <v>0.38961038961038963</v>
      </c>
      <c r="E33">
        <f t="shared" si="4"/>
        <v>22.323030979122983</v>
      </c>
      <c r="F33">
        <f t="shared" si="5"/>
        <v>75.066680076874079</v>
      </c>
      <c r="G33">
        <f t="shared" si="6"/>
        <v>182.82212116338843</v>
      </c>
      <c r="H33">
        <f t="shared" si="7"/>
        <v>14.811212169944895</v>
      </c>
      <c r="I33" s="65">
        <f t="shared" si="8"/>
        <v>7.6941361921791657E-2</v>
      </c>
      <c r="J33">
        <f t="shared" si="9"/>
        <v>1.9333199231259215</v>
      </c>
      <c r="K33" s="65">
        <f t="shared" si="2"/>
        <v>7.6941361921791657E-2</v>
      </c>
      <c r="L33">
        <f t="shared" si="10"/>
        <v>2.197388534481135</v>
      </c>
      <c r="M33" s="66">
        <f t="shared" si="10"/>
        <v>8.1927486261661978E-2</v>
      </c>
      <c r="N33">
        <f t="shared" si="11"/>
        <v>22.323030979122983</v>
      </c>
      <c r="O33">
        <f t="shared" si="12"/>
        <v>23.811233044397852</v>
      </c>
      <c r="P33">
        <f t="shared" si="15"/>
        <v>15</v>
      </c>
      <c r="Q33">
        <f t="shared" si="16"/>
        <v>444.67500000000001</v>
      </c>
      <c r="R33">
        <f t="shared" si="17"/>
        <v>0.25974025974025972</v>
      </c>
      <c r="S33">
        <f t="shared" si="18"/>
        <v>14.882020652748654</v>
      </c>
      <c r="T33">
        <f t="shared" si="19"/>
        <v>114.20567251521632</v>
      </c>
      <c r="U33">
        <f t="shared" si="20"/>
        <v>429.75914183452477</v>
      </c>
      <c r="V33">
        <f t="shared" si="21"/>
        <v>14.915858165475242</v>
      </c>
      <c r="W33" s="65">
        <f t="shared" si="13"/>
        <v>7.7484977482988271E-2</v>
      </c>
      <c r="X33">
        <f t="shared" si="14"/>
        <v>1.294327484783679</v>
      </c>
      <c r="Y33" s="65">
        <f t="shared" si="22"/>
        <v>7.7484977482988271E-2</v>
      </c>
      <c r="Z33">
        <f t="shared" si="23"/>
        <v>1.4719726607206951</v>
      </c>
      <c r="AA33" s="66">
        <f t="shared" si="24"/>
        <v>8.2586569382069916E-2</v>
      </c>
      <c r="AB33">
        <f t="shared" si="25"/>
        <v>14.882020652748654</v>
      </c>
      <c r="AC33">
        <f t="shared" si="26"/>
        <v>15.8741553629319</v>
      </c>
    </row>
    <row r="34" spans="2:29" x14ac:dyDescent="0.15">
      <c r="B34">
        <f t="shared" si="3"/>
        <v>16</v>
      </c>
      <c r="C34">
        <f t="shared" si="0"/>
        <v>185.28125</v>
      </c>
      <c r="D34">
        <f t="shared" si="1"/>
        <v>0.41558441558441561</v>
      </c>
      <c r="E34">
        <f t="shared" si="4"/>
        <v>23.811233044397852</v>
      </c>
      <c r="F34">
        <f t="shared" si="5"/>
        <v>74.802611465518865</v>
      </c>
      <c r="G34">
        <f t="shared" si="6"/>
        <v>169.51020889463007</v>
      </c>
      <c r="H34">
        <f t="shared" si="7"/>
        <v>15.771041105369932</v>
      </c>
      <c r="I34" s="65">
        <f t="shared" si="8"/>
        <v>8.1927486261661978E-2</v>
      </c>
      <c r="J34">
        <f t="shared" si="9"/>
        <v>2.197388534481135</v>
      </c>
      <c r="K34" s="65">
        <f t="shared" si="2"/>
        <v>8.1927486261661978E-2</v>
      </c>
      <c r="L34">
        <f t="shared" si="10"/>
        <v>2.4778846000902774</v>
      </c>
      <c r="M34" s="66">
        <f t="shared" si="10"/>
        <v>8.6886108791990754E-2</v>
      </c>
      <c r="N34">
        <f t="shared" si="11"/>
        <v>23.811233044397852</v>
      </c>
      <c r="O34">
        <f t="shared" si="12"/>
        <v>25.299435109672718</v>
      </c>
      <c r="P34">
        <f t="shared" si="15"/>
        <v>16</v>
      </c>
      <c r="Q34">
        <f t="shared" si="16"/>
        <v>416.8828125</v>
      </c>
      <c r="R34">
        <f t="shared" si="17"/>
        <v>0.27705627705627706</v>
      </c>
      <c r="S34">
        <f t="shared" si="18"/>
        <v>15.8741553629319</v>
      </c>
      <c r="T34">
        <f t="shared" si="19"/>
        <v>114.0280273392793</v>
      </c>
      <c r="U34">
        <f t="shared" si="20"/>
        <v>400.98489789395154</v>
      </c>
      <c r="V34">
        <f t="shared" si="21"/>
        <v>15.89791460604846</v>
      </c>
      <c r="W34" s="65">
        <f t="shared" si="13"/>
        <v>8.2586569382069916E-2</v>
      </c>
      <c r="X34">
        <f t="shared" si="14"/>
        <v>1.4719726607206951</v>
      </c>
      <c r="Y34" s="65">
        <f t="shared" si="22"/>
        <v>8.2586569382069916E-2</v>
      </c>
      <c r="Z34">
        <f t="shared" si="23"/>
        <v>1.6608970559363883</v>
      </c>
      <c r="AA34" s="66">
        <f t="shared" si="24"/>
        <v>8.7675806392291056E-2</v>
      </c>
      <c r="AB34">
        <f t="shared" si="25"/>
        <v>15.8741553629319</v>
      </c>
      <c r="AC34">
        <f t="shared" si="26"/>
        <v>16.866290073115142</v>
      </c>
    </row>
    <row r="35" spans="2:29" x14ac:dyDescent="0.15">
      <c r="B35">
        <f t="shared" si="3"/>
        <v>17</v>
      </c>
      <c r="C35">
        <f t="shared" si="0"/>
        <v>174.38235294117646</v>
      </c>
      <c r="D35">
        <f t="shared" si="1"/>
        <v>0.44155844155844159</v>
      </c>
      <c r="E35">
        <f t="shared" si="4"/>
        <v>25.299435109672718</v>
      </c>
      <c r="F35">
        <f t="shared" si="5"/>
        <v>74.522115399909723</v>
      </c>
      <c r="G35">
        <f t="shared" si="6"/>
        <v>157.65677699871824</v>
      </c>
      <c r="H35">
        <f t="shared" si="7"/>
        <v>16.725575942458221</v>
      </c>
      <c r="I35" s="65">
        <f t="shared" si="8"/>
        <v>8.6886108791990754E-2</v>
      </c>
      <c r="J35">
        <f t="shared" si="9"/>
        <v>2.4778846000902774</v>
      </c>
      <c r="K35" s="65">
        <f t="shared" si="2"/>
        <v>8.6886108791990754E-2</v>
      </c>
      <c r="L35">
        <f t="shared" si="10"/>
        <v>2.7746949833500167</v>
      </c>
      <c r="M35" s="66">
        <f t="shared" si="10"/>
        <v>9.1815583327262362E-2</v>
      </c>
      <c r="N35">
        <f t="shared" si="11"/>
        <v>25.299435109672718</v>
      </c>
      <c r="O35">
        <f t="shared" si="12"/>
        <v>26.787637174947577</v>
      </c>
      <c r="P35">
        <f t="shared" si="15"/>
        <v>17</v>
      </c>
      <c r="Q35">
        <f t="shared" si="16"/>
        <v>392.36029411764707</v>
      </c>
      <c r="R35">
        <f t="shared" si="17"/>
        <v>0.29437229437229434</v>
      </c>
      <c r="S35">
        <f t="shared" si="18"/>
        <v>16.866290073115142</v>
      </c>
      <c r="T35">
        <f t="shared" si="19"/>
        <v>113.83910294406361</v>
      </c>
      <c r="U35">
        <f t="shared" si="20"/>
        <v>375.48270138713104</v>
      </c>
      <c r="V35">
        <f t="shared" si="21"/>
        <v>16.877592730516028</v>
      </c>
      <c r="W35" s="65">
        <f t="shared" si="13"/>
        <v>8.7675806392291056E-2</v>
      </c>
      <c r="X35">
        <f t="shared" si="14"/>
        <v>1.6608970559363883</v>
      </c>
      <c r="Y35" s="65">
        <f t="shared" si="22"/>
        <v>8.7675806392291056E-2</v>
      </c>
      <c r="Z35">
        <f t="shared" si="23"/>
        <v>1.8610667353669044</v>
      </c>
      <c r="AA35" s="66">
        <f t="shared" si="24"/>
        <v>9.2751930800155702E-2</v>
      </c>
      <c r="AB35">
        <f t="shared" si="25"/>
        <v>16.866290073115142</v>
      </c>
      <c r="AC35">
        <f t="shared" si="26"/>
        <v>17.858424783298386</v>
      </c>
    </row>
    <row r="36" spans="2:29" x14ac:dyDescent="0.15">
      <c r="B36">
        <f t="shared" si="3"/>
        <v>18</v>
      </c>
      <c r="C36">
        <f t="shared" si="0"/>
        <v>164.69444444444446</v>
      </c>
      <c r="D36">
        <f t="shared" si="1"/>
        <v>0.46753246753246752</v>
      </c>
      <c r="E36">
        <f t="shared" si="4"/>
        <v>26.787637174947577</v>
      </c>
      <c r="F36">
        <f t="shared" si="5"/>
        <v>74.225305016649983</v>
      </c>
      <c r="G36">
        <f t="shared" si="6"/>
        <v>147.01994465394645</v>
      </c>
      <c r="H36">
        <f t="shared" si="7"/>
        <v>17.674499790498004</v>
      </c>
      <c r="I36" s="65">
        <f t="shared" si="8"/>
        <v>9.1815583327262362E-2</v>
      </c>
      <c r="J36">
        <f t="shared" si="9"/>
        <v>2.7746949833500167</v>
      </c>
      <c r="K36" s="65">
        <f t="shared" si="2"/>
        <v>9.1815583327262362E-2</v>
      </c>
      <c r="L36">
        <f t="shared" si="10"/>
        <v>3.0877000207773904</v>
      </c>
      <c r="M36" s="66">
        <f t="shared" si="10"/>
        <v>9.6714276755287515E-2</v>
      </c>
      <c r="N36">
        <f t="shared" si="11"/>
        <v>26.787637174947577</v>
      </c>
      <c r="O36">
        <f t="shared" si="12"/>
        <v>28.275839240222446</v>
      </c>
      <c r="P36">
        <f t="shared" si="15"/>
        <v>18</v>
      </c>
      <c r="Q36">
        <f t="shared" si="16"/>
        <v>370.5625</v>
      </c>
      <c r="R36">
        <f t="shared" si="17"/>
        <v>0.31168831168831168</v>
      </c>
      <c r="S36">
        <f t="shared" si="18"/>
        <v>17.858424783298386</v>
      </c>
      <c r="T36">
        <f t="shared" si="19"/>
        <v>113.6389332646331</v>
      </c>
      <c r="U36">
        <f t="shared" si="20"/>
        <v>352.70775332097003</v>
      </c>
      <c r="V36">
        <f t="shared" si="21"/>
        <v>17.854746679029972</v>
      </c>
      <c r="W36" s="65">
        <f t="shared" si="13"/>
        <v>9.2751930800155702E-2</v>
      </c>
      <c r="X36">
        <f t="shared" si="14"/>
        <v>1.8610667353669044</v>
      </c>
      <c r="Y36" s="65">
        <f t="shared" si="22"/>
        <v>9.2751930800155702E-2</v>
      </c>
      <c r="Z36">
        <f t="shared" si="23"/>
        <v>2.0724457510898304</v>
      </c>
      <c r="AA36" s="66">
        <f t="shared" si="24"/>
        <v>9.7814187510104372E-2</v>
      </c>
      <c r="AB36">
        <f t="shared" si="25"/>
        <v>17.858424783298386</v>
      </c>
      <c r="AC36">
        <f t="shared" si="26"/>
        <v>18.850559493481629</v>
      </c>
    </row>
    <row r="37" spans="2:29" x14ac:dyDescent="0.15">
      <c r="B37">
        <f t="shared" si="3"/>
        <v>19</v>
      </c>
      <c r="C37">
        <f t="shared" si="0"/>
        <v>156.02631578947367</v>
      </c>
      <c r="D37">
        <f t="shared" si="1"/>
        <v>0.49350649350649356</v>
      </c>
      <c r="E37">
        <f t="shared" si="4"/>
        <v>28.275839240222446</v>
      </c>
      <c r="F37">
        <f t="shared" si="5"/>
        <v>73.91229997922261</v>
      </c>
      <c r="G37">
        <f t="shared" si="6"/>
        <v>137.40881751408082</v>
      </c>
      <c r="H37">
        <f t="shared" si="7"/>
        <v>18.617498275392848</v>
      </c>
      <c r="I37" s="65">
        <f t="shared" si="8"/>
        <v>9.6714276755287515E-2</v>
      </c>
      <c r="J37">
        <f t="shared" si="9"/>
        <v>3.0877000207773904</v>
      </c>
      <c r="K37" s="65">
        <f t="shared" si="2"/>
        <v>9.6714276755287515E-2</v>
      </c>
      <c r="L37">
        <f t="shared" si="10"/>
        <v>3.4167735795443974</v>
      </c>
      <c r="M37" s="66">
        <f t="shared" si="10"/>
        <v>0.10158056976504094</v>
      </c>
      <c r="N37">
        <f t="shared" si="11"/>
        <v>28.275839240222446</v>
      </c>
      <c r="O37">
        <f t="shared" si="12"/>
        <v>29.764041305497312</v>
      </c>
      <c r="P37">
        <f t="shared" si="15"/>
        <v>19</v>
      </c>
      <c r="Q37">
        <f t="shared" si="16"/>
        <v>351.05921052631578</v>
      </c>
      <c r="R37">
        <f t="shared" si="17"/>
        <v>0.32900432900432902</v>
      </c>
      <c r="S37">
        <f t="shared" si="18"/>
        <v>18.850559493481629</v>
      </c>
      <c r="T37">
        <f t="shared" si="19"/>
        <v>113.42755424891017</v>
      </c>
      <c r="U37">
        <f t="shared" si="20"/>
        <v>332.22997943062069</v>
      </c>
      <c r="V37">
        <f t="shared" si="21"/>
        <v>18.829231095695093</v>
      </c>
      <c r="W37" s="65">
        <f t="shared" si="13"/>
        <v>9.7814187510104372E-2</v>
      </c>
      <c r="X37">
        <f t="shared" si="14"/>
        <v>2.0724457510898304</v>
      </c>
      <c r="Y37" s="65">
        <f t="shared" si="22"/>
        <v>9.7814187510104372E-2</v>
      </c>
      <c r="Z37">
        <f t="shared" si="23"/>
        <v>2.2949961500157059</v>
      </c>
      <c r="AA37" s="66">
        <f t="shared" si="24"/>
        <v>0.10286182419486363</v>
      </c>
      <c r="AB37">
        <f t="shared" si="25"/>
        <v>18.850559493481629</v>
      </c>
      <c r="AC37">
        <f t="shared" si="26"/>
        <v>19.842694203664873</v>
      </c>
    </row>
    <row r="38" spans="2:29" x14ac:dyDescent="0.15">
      <c r="B38">
        <f t="shared" si="3"/>
        <v>20</v>
      </c>
      <c r="C38">
        <f t="shared" si="0"/>
        <v>148.22499999999999</v>
      </c>
      <c r="D38">
        <f t="shared" si="1"/>
        <v>0.51948051948051954</v>
      </c>
      <c r="E38">
        <f t="shared" si="4"/>
        <v>29.764041305497312</v>
      </c>
      <c r="F38">
        <f t="shared" si="5"/>
        <v>73.583226420455603</v>
      </c>
      <c r="G38">
        <f t="shared" si="6"/>
        <v>128.67074032022961</v>
      </c>
      <c r="H38">
        <f t="shared" si="7"/>
        <v>19.554259679770382</v>
      </c>
      <c r="I38" s="65">
        <f t="shared" si="8"/>
        <v>0.10158056976504094</v>
      </c>
      <c r="J38">
        <f t="shared" si="9"/>
        <v>3.4167735795443974</v>
      </c>
      <c r="K38" s="65">
        <f t="shared" si="2"/>
        <v>0.10158056976504094</v>
      </c>
      <c r="L38">
        <f t="shared" si="10"/>
        <v>3.761783118107104</v>
      </c>
      <c r="M38" s="66">
        <f t="shared" si="10"/>
        <v>0.10641285756753109</v>
      </c>
      <c r="N38">
        <f t="shared" si="11"/>
        <v>29.764041305497312</v>
      </c>
      <c r="O38">
        <f t="shared" si="12"/>
        <v>31.252243370772181</v>
      </c>
      <c r="P38">
        <f t="shared" si="15"/>
        <v>20</v>
      </c>
      <c r="Q38">
        <f t="shared" si="16"/>
        <v>333.50625000000002</v>
      </c>
      <c r="R38">
        <f t="shared" si="17"/>
        <v>0.34632034632034631</v>
      </c>
      <c r="S38">
        <f t="shared" si="18"/>
        <v>19.842694203664873</v>
      </c>
      <c r="T38">
        <f t="shared" si="19"/>
        <v>113.20500384998429</v>
      </c>
      <c r="U38">
        <f t="shared" si="20"/>
        <v>313.70534884248877</v>
      </c>
      <c r="V38">
        <f t="shared" si="21"/>
        <v>19.800901157511248</v>
      </c>
      <c r="W38" s="65">
        <f t="shared" si="13"/>
        <v>0.10286182419486363</v>
      </c>
      <c r="X38">
        <f t="shared" si="14"/>
        <v>2.2949961500157059</v>
      </c>
      <c r="Y38" s="65">
        <f t="shared" si="22"/>
        <v>0.10286182419486363</v>
      </c>
      <c r="Z38">
        <f t="shared" si="23"/>
        <v>2.5286779820074798</v>
      </c>
      <c r="AA38" s="66">
        <f t="shared" si="24"/>
        <v>0.10789409144517009</v>
      </c>
      <c r="AB38">
        <f t="shared" si="25"/>
        <v>19.842694203664873</v>
      </c>
      <c r="AC38">
        <f t="shared" si="26"/>
        <v>20.834828913848117</v>
      </c>
    </row>
    <row r="39" spans="2:29" x14ac:dyDescent="0.15">
      <c r="B39">
        <f t="shared" si="3"/>
        <v>21</v>
      </c>
      <c r="C39">
        <f t="shared" si="0"/>
        <v>141.16666666666666</v>
      </c>
      <c r="D39">
        <f t="shared" si="1"/>
        <v>0.54545454545454553</v>
      </c>
      <c r="E39">
        <f t="shared" si="4"/>
        <v>31.252243370772181</v>
      </c>
      <c r="F39">
        <f t="shared" si="5"/>
        <v>73.238216881892896</v>
      </c>
      <c r="G39">
        <f t="shared" si="6"/>
        <v>120.68219158491692</v>
      </c>
      <c r="H39">
        <f t="shared" si="7"/>
        <v>20.484475081749736</v>
      </c>
      <c r="I39" s="65">
        <f t="shared" si="8"/>
        <v>0.10641285756753109</v>
      </c>
      <c r="J39">
        <f t="shared" si="9"/>
        <v>3.761783118107104</v>
      </c>
      <c r="K39" s="65">
        <f t="shared" si="2"/>
        <v>0.10641285756753109</v>
      </c>
      <c r="L39">
        <f t="shared" si="10"/>
        <v>4.1225897498974575</v>
      </c>
      <c r="M39" s="66">
        <f t="shared" si="10"/>
        <v>0.11120955060933471</v>
      </c>
      <c r="N39">
        <f t="shared" si="11"/>
        <v>31.252243370772181</v>
      </c>
      <c r="O39">
        <f t="shared" si="12"/>
        <v>32.74044543604704</v>
      </c>
      <c r="P39">
        <f t="shared" si="15"/>
        <v>21</v>
      </c>
      <c r="Q39">
        <f t="shared" si="16"/>
        <v>317.625</v>
      </c>
      <c r="R39">
        <f t="shared" si="17"/>
        <v>0.36363636363636365</v>
      </c>
      <c r="S39">
        <f t="shared" si="18"/>
        <v>20.834828913848117</v>
      </c>
      <c r="T39">
        <f t="shared" si="19"/>
        <v>112.97132201799252</v>
      </c>
      <c r="U39">
        <f t="shared" si="20"/>
        <v>296.85538739680476</v>
      </c>
      <c r="V39">
        <f t="shared" si="21"/>
        <v>20.769612603195242</v>
      </c>
      <c r="W39" s="65">
        <f t="shared" si="13"/>
        <v>0.10789409144517009</v>
      </c>
      <c r="X39">
        <f t="shared" si="14"/>
        <v>2.5286779820074798</v>
      </c>
      <c r="Y39" s="65">
        <f t="shared" si="22"/>
        <v>0.10789409144517009</v>
      </c>
      <c r="Z39">
        <f t="shared" si="23"/>
        <v>2.7734493084262368</v>
      </c>
      <c r="AA39" s="66">
        <f t="shared" si="24"/>
        <v>0.11291024291883935</v>
      </c>
      <c r="AB39">
        <f t="shared" si="25"/>
        <v>20.834828913848117</v>
      </c>
      <c r="AC39">
        <f t="shared" si="26"/>
        <v>21.826963624031361</v>
      </c>
    </row>
    <row r="40" spans="2:29" x14ac:dyDescent="0.15">
      <c r="B40">
        <f t="shared" si="3"/>
        <v>22</v>
      </c>
      <c r="C40">
        <f t="shared" si="0"/>
        <v>134.75</v>
      </c>
      <c r="D40">
        <f t="shared" si="1"/>
        <v>0.5714285714285714</v>
      </c>
      <c r="E40">
        <f t="shared" si="4"/>
        <v>32.74044543604704</v>
      </c>
      <c r="F40">
        <f t="shared" si="5"/>
        <v>72.877410250102542</v>
      </c>
      <c r="G40">
        <f t="shared" si="6"/>
        <v>113.34216150770307</v>
      </c>
      <c r="H40">
        <f t="shared" si="7"/>
        <v>21.407838492296932</v>
      </c>
      <c r="I40" s="65">
        <f t="shared" si="8"/>
        <v>0.11120955060933471</v>
      </c>
      <c r="J40">
        <f t="shared" si="9"/>
        <v>4.1225897498974575</v>
      </c>
      <c r="K40" s="65">
        <f t="shared" si="2"/>
        <v>0.11120955060933471</v>
      </c>
      <c r="L40">
        <f t="shared" si="10"/>
        <v>4.499048310044401</v>
      </c>
      <c r="M40" s="66">
        <f t="shared" si="10"/>
        <v>0.1159690752784424</v>
      </c>
      <c r="N40">
        <f t="shared" si="11"/>
        <v>32.74044543604704</v>
      </c>
      <c r="O40">
        <f t="shared" si="12"/>
        <v>34.228647501321909</v>
      </c>
      <c r="P40">
        <f t="shared" si="15"/>
        <v>22</v>
      </c>
      <c r="Q40">
        <f t="shared" si="16"/>
        <v>303.1875</v>
      </c>
      <c r="R40">
        <f t="shared" si="17"/>
        <v>0.38095238095238093</v>
      </c>
      <c r="S40">
        <f t="shared" si="18"/>
        <v>21.826963624031361</v>
      </c>
      <c r="T40">
        <f t="shared" si="19"/>
        <v>112.72655069157376</v>
      </c>
      <c r="U40">
        <f t="shared" si="20"/>
        <v>281.45227823812343</v>
      </c>
      <c r="V40">
        <f t="shared" si="21"/>
        <v>21.735221761876574</v>
      </c>
      <c r="W40" s="65">
        <f t="shared" si="13"/>
        <v>0.11291024291883935</v>
      </c>
      <c r="X40">
        <f t="shared" si="14"/>
        <v>2.7734493084262368</v>
      </c>
      <c r="Y40" s="65">
        <f t="shared" si="22"/>
        <v>0.11291024291883935</v>
      </c>
      <c r="Z40">
        <f t="shared" si="23"/>
        <v>3.0292662111011879</v>
      </c>
      <c r="AA40" s="66">
        <f t="shared" si="24"/>
        <v>0.1179095354891482</v>
      </c>
      <c r="AB40">
        <f t="shared" si="25"/>
        <v>21.826963624031361</v>
      </c>
      <c r="AC40">
        <f t="shared" si="26"/>
        <v>22.819098334214605</v>
      </c>
    </row>
    <row r="41" spans="2:29" x14ac:dyDescent="0.15">
      <c r="B41">
        <f t="shared" si="3"/>
        <v>23</v>
      </c>
      <c r="C41">
        <f t="shared" si="0"/>
        <v>128.89130434782609</v>
      </c>
      <c r="D41">
        <f t="shared" si="1"/>
        <v>0.59740259740259738</v>
      </c>
      <c r="E41">
        <f t="shared" si="4"/>
        <v>34.228647501321909</v>
      </c>
      <c r="F41">
        <f t="shared" si="5"/>
        <v>72.500951689955599</v>
      </c>
      <c r="G41">
        <f t="shared" si="6"/>
        <v>106.56725735672593</v>
      </c>
      <c r="H41">
        <f t="shared" si="7"/>
        <v>22.324046991100161</v>
      </c>
      <c r="I41" s="65">
        <f t="shared" si="8"/>
        <v>0.1159690752784424</v>
      </c>
      <c r="J41">
        <f t="shared" si="9"/>
        <v>4.499048310044401</v>
      </c>
      <c r="K41" s="65">
        <f t="shared" si="2"/>
        <v>0.1159690752784424</v>
      </c>
      <c r="L41">
        <f t="shared" si="10"/>
        <v>4.8910074250895406</v>
      </c>
      <c r="M41" s="66">
        <f t="shared" si="10"/>
        <v>0.12068987460205784</v>
      </c>
      <c r="N41">
        <f t="shared" si="11"/>
        <v>34.228647501321909</v>
      </c>
      <c r="O41">
        <f t="shared" si="12"/>
        <v>35.716849566596771</v>
      </c>
      <c r="P41">
        <f t="shared" si="15"/>
        <v>23</v>
      </c>
      <c r="Q41">
        <f t="shared" si="16"/>
        <v>290.00543478260869</v>
      </c>
      <c r="R41">
        <f t="shared" si="17"/>
        <v>0.39826839826839827</v>
      </c>
      <c r="S41">
        <f t="shared" si="18"/>
        <v>22.819098334214605</v>
      </c>
      <c r="T41">
        <f t="shared" si="19"/>
        <v>112.47073378889881</v>
      </c>
      <c r="U41">
        <f t="shared" si="20"/>
        <v>267.30784920094766</v>
      </c>
      <c r="V41">
        <f t="shared" si="21"/>
        <v>22.697585581661031</v>
      </c>
      <c r="W41" s="65">
        <f t="shared" si="13"/>
        <v>0.1179095354891482</v>
      </c>
      <c r="X41">
        <f t="shared" si="14"/>
        <v>3.0292662111011879</v>
      </c>
      <c r="Y41" s="65">
        <f t="shared" si="22"/>
        <v>0.1179095354891482</v>
      </c>
      <c r="Z41">
        <f t="shared" si="23"/>
        <v>3.2960828017216954</v>
      </c>
      <c r="AA41" s="66">
        <f t="shared" si="24"/>
        <v>0.12289122939249282</v>
      </c>
      <c r="AB41">
        <f t="shared" si="25"/>
        <v>22.819098334214605</v>
      </c>
      <c r="AC41">
        <f t="shared" si="26"/>
        <v>23.811233044397852</v>
      </c>
    </row>
    <row r="42" spans="2:29" x14ac:dyDescent="0.15">
      <c r="B42">
        <f t="shared" si="3"/>
        <v>24</v>
      </c>
      <c r="C42">
        <f t="shared" si="0"/>
        <v>123.52083333333333</v>
      </c>
      <c r="D42">
        <f t="shared" si="1"/>
        <v>0.62337662337662336</v>
      </c>
      <c r="E42">
        <f t="shared" si="4"/>
        <v>35.716849566596771</v>
      </c>
      <c r="F42">
        <f t="shared" si="5"/>
        <v>72.108992574910459</v>
      </c>
      <c r="G42">
        <f t="shared" si="6"/>
        <v>100.28803247243719</v>
      </c>
      <c r="H42">
        <f t="shared" si="7"/>
        <v>23.232800860896134</v>
      </c>
      <c r="I42" s="65">
        <f t="shared" si="8"/>
        <v>0.12068987460205784</v>
      </c>
      <c r="J42">
        <f t="shared" si="9"/>
        <v>4.8910074250895406</v>
      </c>
      <c r="K42" s="65">
        <f t="shared" si="2"/>
        <v>0.12068987460205784</v>
      </c>
      <c r="L42">
        <f t="shared" si="10"/>
        <v>5.2983095856605047</v>
      </c>
      <c r="M42" s="66">
        <f t="shared" si="10"/>
        <v>0.1253704089360019</v>
      </c>
      <c r="N42">
        <f t="shared" si="11"/>
        <v>35.716849566596771</v>
      </c>
      <c r="O42">
        <f t="shared" si="12"/>
        <v>37.20505163187164</v>
      </c>
      <c r="P42">
        <f t="shared" si="15"/>
        <v>24</v>
      </c>
      <c r="Q42">
        <f t="shared" si="16"/>
        <v>277.921875</v>
      </c>
      <c r="R42">
        <f t="shared" si="17"/>
        <v>0.41558441558441561</v>
      </c>
      <c r="S42">
        <f t="shared" si="18"/>
        <v>23.811233044397852</v>
      </c>
      <c r="T42">
        <f t="shared" si="19"/>
        <v>112.2039171982783</v>
      </c>
      <c r="U42">
        <f t="shared" si="20"/>
        <v>254.26531334194513</v>
      </c>
      <c r="V42">
        <f t="shared" si="21"/>
        <v>23.656561658054869</v>
      </c>
      <c r="W42" s="65">
        <f t="shared" si="13"/>
        <v>0.12289122939249282</v>
      </c>
      <c r="X42">
        <f t="shared" si="14"/>
        <v>3.2960828017216954</v>
      </c>
      <c r="Y42" s="65">
        <f t="shared" si="22"/>
        <v>0.12289122939249282</v>
      </c>
      <c r="Z42">
        <f t="shared" si="23"/>
        <v>3.5738512316492574</v>
      </c>
      <c r="AA42" s="66">
        <f t="shared" si="24"/>
        <v>0.12785458837529065</v>
      </c>
      <c r="AB42">
        <f t="shared" si="25"/>
        <v>23.811233044397852</v>
      </c>
      <c r="AC42">
        <f t="shared" si="26"/>
        <v>24.803367754581092</v>
      </c>
    </row>
    <row r="43" spans="2:29" x14ac:dyDescent="0.15">
      <c r="B43">
        <f t="shared" si="3"/>
        <v>25</v>
      </c>
      <c r="C43">
        <f t="shared" si="0"/>
        <v>118.58</v>
      </c>
      <c r="D43">
        <f t="shared" si="1"/>
        <v>0.64935064935064934</v>
      </c>
      <c r="E43">
        <f t="shared" si="4"/>
        <v>37.20505163187164</v>
      </c>
      <c r="F43">
        <f t="shared" si="5"/>
        <v>71.701690414339495</v>
      </c>
      <c r="G43">
        <f t="shared" si="6"/>
        <v>94.446196279819631</v>
      </c>
      <c r="H43">
        <f t="shared" si="7"/>
        <v>24.133803720180367</v>
      </c>
      <c r="I43" s="65">
        <f t="shared" si="8"/>
        <v>0.1253704089360019</v>
      </c>
      <c r="J43">
        <f t="shared" si="9"/>
        <v>5.2983095856605047</v>
      </c>
      <c r="K43" s="65">
        <f t="shared" si="2"/>
        <v>0.1253704089360019</v>
      </c>
      <c r="L43">
        <f t="shared" si="10"/>
        <v>5.7207912220644488</v>
      </c>
      <c r="M43" s="66">
        <f t="shared" si="10"/>
        <v>0.13000915664537552</v>
      </c>
      <c r="N43">
        <f t="shared" si="11"/>
        <v>37.20505163187164</v>
      </c>
      <c r="O43">
        <f t="shared" si="12"/>
        <v>38.693253697146503</v>
      </c>
      <c r="P43">
        <f t="shared" si="15"/>
        <v>25</v>
      </c>
      <c r="Q43">
        <f t="shared" si="16"/>
        <v>266.80500000000001</v>
      </c>
      <c r="R43">
        <f t="shared" si="17"/>
        <v>0.4329004329004329</v>
      </c>
      <c r="S43">
        <f t="shared" si="18"/>
        <v>24.803367754581092</v>
      </c>
      <c r="T43">
        <f t="shared" si="19"/>
        <v>111.92614876835074</v>
      </c>
      <c r="U43">
        <f t="shared" si="20"/>
        <v>242.19299173775656</v>
      </c>
      <c r="V43">
        <f t="shared" si="21"/>
        <v>24.61200826224345</v>
      </c>
      <c r="W43" s="65">
        <f t="shared" si="13"/>
        <v>0.12785458837529065</v>
      </c>
      <c r="X43">
        <f t="shared" si="14"/>
        <v>3.5738512316492574</v>
      </c>
      <c r="Y43" s="65">
        <f t="shared" si="22"/>
        <v>0.12785458837529065</v>
      </c>
      <c r="Z43">
        <f t="shared" si="23"/>
        <v>3.8625217021470917</v>
      </c>
      <c r="AA43" s="66">
        <f t="shared" si="24"/>
        <v>0.13279887984009578</v>
      </c>
      <c r="AB43">
        <f t="shared" si="25"/>
        <v>24.803367754581092</v>
      </c>
      <c r="AC43">
        <f t="shared" si="26"/>
        <v>25.79550246476434</v>
      </c>
    </row>
    <row r="44" spans="2:29" x14ac:dyDescent="0.15">
      <c r="B44">
        <f t="shared" si="3"/>
        <v>26</v>
      </c>
      <c r="C44">
        <f t="shared" si="0"/>
        <v>114.01923076923077</v>
      </c>
      <c r="D44">
        <f t="shared" si="1"/>
        <v>0.67532467532467533</v>
      </c>
      <c r="E44">
        <f t="shared" si="4"/>
        <v>38.693253697146503</v>
      </c>
      <c r="F44">
        <f t="shared" si="5"/>
        <v>71.279208777935551</v>
      </c>
      <c r="G44">
        <f t="shared" si="6"/>
        <v>88.992468114995987</v>
      </c>
      <c r="H44">
        <f t="shared" si="7"/>
        <v>25.026762654234787</v>
      </c>
      <c r="I44" s="65">
        <f t="shared" si="8"/>
        <v>0.13000915664537552</v>
      </c>
      <c r="J44">
        <f t="shared" si="9"/>
        <v>5.7207912220644488</v>
      </c>
      <c r="K44" s="65">
        <f t="shared" si="2"/>
        <v>0.13000915664537552</v>
      </c>
      <c r="L44">
        <f t="shared" si="10"/>
        <v>6.1582827827615887</v>
      </c>
      <c r="M44" s="66">
        <f t="shared" si="10"/>
        <v>0.13460461477614108</v>
      </c>
      <c r="N44">
        <f t="shared" si="11"/>
        <v>38.693253697146503</v>
      </c>
      <c r="O44">
        <f t="shared" si="12"/>
        <v>40.181455762421372</v>
      </c>
      <c r="P44">
        <f t="shared" si="15"/>
        <v>26</v>
      </c>
      <c r="Q44">
        <f t="shared" si="16"/>
        <v>256.54326923076923</v>
      </c>
      <c r="R44">
        <f t="shared" si="17"/>
        <v>0.45021645021645024</v>
      </c>
      <c r="S44">
        <f t="shared" si="18"/>
        <v>25.79550246476434</v>
      </c>
      <c r="T44">
        <f t="shared" si="19"/>
        <v>111.63747829785291</v>
      </c>
      <c r="U44">
        <f t="shared" si="20"/>
        <v>230.97948486155079</v>
      </c>
      <c r="V44">
        <f t="shared" si="21"/>
        <v>25.563784369218439</v>
      </c>
      <c r="W44" s="65">
        <f t="shared" si="13"/>
        <v>0.13279887984009578</v>
      </c>
      <c r="X44">
        <f t="shared" si="14"/>
        <v>3.8625217021470917</v>
      </c>
      <c r="Y44" s="65">
        <f t="shared" si="22"/>
        <v>0.13279887984009578</v>
      </c>
      <c r="Z44">
        <f t="shared" si="23"/>
        <v>4.162042475025018</v>
      </c>
      <c r="AA44" s="66">
        <f t="shared" si="24"/>
        <v>0.1377233749908936</v>
      </c>
      <c r="AB44">
        <f t="shared" si="25"/>
        <v>25.79550246476434</v>
      </c>
      <c r="AC44">
        <f t="shared" si="26"/>
        <v>26.787637174947584</v>
      </c>
    </row>
    <row r="45" spans="2:29" x14ac:dyDescent="0.15">
      <c r="B45">
        <f t="shared" si="3"/>
        <v>27</v>
      </c>
      <c r="C45">
        <f t="shared" si="0"/>
        <v>109.79629629629629</v>
      </c>
      <c r="D45">
        <f t="shared" si="1"/>
        <v>0.70129870129870131</v>
      </c>
      <c r="E45">
        <f t="shared" si="4"/>
        <v>40.181455762421372</v>
      </c>
      <c r="F45">
        <f t="shared" si="5"/>
        <v>70.841717217238411</v>
      </c>
      <c r="G45">
        <f t="shared" si="6"/>
        <v>83.884907951889133</v>
      </c>
      <c r="H45">
        <f t="shared" si="7"/>
        <v>25.911388344407158</v>
      </c>
      <c r="I45" s="65">
        <f t="shared" si="8"/>
        <v>0.13460461477614108</v>
      </c>
      <c r="J45">
        <f t="shared" si="9"/>
        <v>6.1582827827615887</v>
      </c>
      <c r="K45" s="65">
        <f t="shared" si="2"/>
        <v>0.13460461477614108</v>
      </c>
      <c r="L45">
        <f t="shared" si="10"/>
        <v>6.6106088156781198</v>
      </c>
      <c r="M45" s="66">
        <f t="shared" si="10"/>
        <v>0.1391552997172858</v>
      </c>
      <c r="N45">
        <f t="shared" si="11"/>
        <v>40.181455762421372</v>
      </c>
      <c r="O45">
        <f t="shared" si="12"/>
        <v>41.669657827696234</v>
      </c>
      <c r="P45">
        <f t="shared" si="15"/>
        <v>27</v>
      </c>
      <c r="Q45">
        <f t="shared" si="16"/>
        <v>247.04166666666666</v>
      </c>
      <c r="R45">
        <f t="shared" si="17"/>
        <v>0.46753246753246758</v>
      </c>
      <c r="S45">
        <f t="shared" si="18"/>
        <v>26.787637174947584</v>
      </c>
      <c r="T45">
        <f t="shared" si="19"/>
        <v>111.33795752497498</v>
      </c>
      <c r="U45">
        <f t="shared" si="20"/>
        <v>220.52991698091964</v>
      </c>
      <c r="V45">
        <f t="shared" si="21"/>
        <v>26.51174968574702</v>
      </c>
      <c r="W45" s="65">
        <f t="shared" si="13"/>
        <v>0.1377233749908936</v>
      </c>
      <c r="X45">
        <f t="shared" si="14"/>
        <v>4.162042475025018</v>
      </c>
      <c r="Y45" s="65">
        <f t="shared" si="22"/>
        <v>0.1377233749908936</v>
      </c>
      <c r="Z45">
        <f t="shared" si="23"/>
        <v>4.4723598836971803</v>
      </c>
      <c r="AA45" s="66">
        <f t="shared" si="24"/>
        <v>0.14262734897753956</v>
      </c>
      <c r="AB45">
        <f t="shared" si="25"/>
        <v>26.787637174947584</v>
      </c>
      <c r="AC45">
        <f t="shared" si="26"/>
        <v>27.779771885130828</v>
      </c>
    </row>
    <row r="46" spans="2:29" x14ac:dyDescent="0.15">
      <c r="B46">
        <f t="shared" si="3"/>
        <v>28</v>
      </c>
      <c r="C46">
        <f t="shared" si="0"/>
        <v>105.875</v>
      </c>
      <c r="D46">
        <f t="shared" si="1"/>
        <v>0.72727272727272729</v>
      </c>
      <c r="E46">
        <f t="shared" si="4"/>
        <v>41.669657827696234</v>
      </c>
      <c r="F46">
        <f t="shared" si="5"/>
        <v>70.38939118432188</v>
      </c>
      <c r="G46">
        <f t="shared" si="6"/>
        <v>79.087604804422483</v>
      </c>
      <c r="H46">
        <f t="shared" si="7"/>
        <v>26.787395195577517</v>
      </c>
      <c r="I46" s="65">
        <f t="shared" si="8"/>
        <v>0.1391552997172858</v>
      </c>
      <c r="J46">
        <f t="shared" si="9"/>
        <v>6.6106088156781198</v>
      </c>
      <c r="K46" s="65">
        <f t="shared" si="2"/>
        <v>0.1391552997172858</v>
      </c>
      <c r="L46">
        <f t="shared" si="10"/>
        <v>7.0775880523159884</v>
      </c>
      <c r="M46" s="66">
        <f t="shared" si="10"/>
        <v>0.14365974785323643</v>
      </c>
      <c r="N46">
        <f t="shared" si="11"/>
        <v>41.669657827696234</v>
      </c>
      <c r="O46">
        <f t="shared" si="12"/>
        <v>43.157859892971096</v>
      </c>
      <c r="P46">
        <f t="shared" si="15"/>
        <v>28</v>
      </c>
      <c r="Q46">
        <f t="shared" si="16"/>
        <v>238.21875</v>
      </c>
      <c r="R46">
        <f t="shared" si="17"/>
        <v>0.48484848484848486</v>
      </c>
      <c r="S46">
        <f t="shared" si="18"/>
        <v>27.779771885130828</v>
      </c>
      <c r="T46">
        <f t="shared" si="19"/>
        <v>111.02764011630282</v>
      </c>
      <c r="U46">
        <f t="shared" si="20"/>
        <v>210.76298532182363</v>
      </c>
      <c r="V46">
        <f t="shared" si="21"/>
        <v>27.455764678176365</v>
      </c>
      <c r="W46" s="65">
        <f t="shared" si="13"/>
        <v>0.14262734897753956</v>
      </c>
      <c r="X46">
        <f t="shared" si="14"/>
        <v>4.4723598836971803</v>
      </c>
      <c r="Y46" s="65">
        <f t="shared" si="22"/>
        <v>0.14262734897753956</v>
      </c>
      <c r="Z46">
        <f t="shared" si="23"/>
        <v>4.793418344649794</v>
      </c>
      <c r="AA46" s="66">
        <f t="shared" si="24"/>
        <v>0.14751008103931462</v>
      </c>
      <c r="AB46">
        <f t="shared" si="25"/>
        <v>27.779771885130828</v>
      </c>
      <c r="AC46">
        <f t="shared" si="26"/>
        <v>28.771906595314064</v>
      </c>
    </row>
    <row r="47" spans="2:29" x14ac:dyDescent="0.15">
      <c r="B47">
        <f t="shared" si="3"/>
        <v>29</v>
      </c>
      <c r="C47">
        <f t="shared" si="0"/>
        <v>102.22413793103448</v>
      </c>
      <c r="D47">
        <f t="shared" si="1"/>
        <v>0.75324675324675328</v>
      </c>
      <c r="E47">
        <f t="shared" si="4"/>
        <v>43.157859892971096</v>
      </c>
      <c r="F47">
        <f t="shared" si="5"/>
        <v>69.922411947684012</v>
      </c>
      <c r="G47">
        <f t="shared" si="6"/>
        <v>74.569636469286465</v>
      </c>
      <c r="H47">
        <f t="shared" si="7"/>
        <v>27.654501461748012</v>
      </c>
      <c r="I47" s="65">
        <f t="shared" si="8"/>
        <v>0.14365974785323643</v>
      </c>
      <c r="J47">
        <f t="shared" si="9"/>
        <v>7.0775880523159884</v>
      </c>
      <c r="K47" s="65">
        <f t="shared" si="2"/>
        <v>0.14365974785323643</v>
      </c>
      <c r="L47">
        <f t="shared" si="10"/>
        <v>7.5590334946149937</v>
      </c>
      <c r="M47" s="66">
        <f t="shared" si="10"/>
        <v>0.14811651620620012</v>
      </c>
      <c r="N47">
        <f t="shared" si="11"/>
        <v>43.157859892971096</v>
      </c>
      <c r="O47">
        <f t="shared" si="12"/>
        <v>44.646061958245966</v>
      </c>
      <c r="P47">
        <f t="shared" si="15"/>
        <v>29</v>
      </c>
      <c r="Q47">
        <f t="shared" si="16"/>
        <v>230.00431034482759</v>
      </c>
      <c r="R47">
        <f t="shared" si="17"/>
        <v>0.50216450216450215</v>
      </c>
      <c r="S47">
        <f t="shared" si="18"/>
        <v>28.771906595314064</v>
      </c>
      <c r="T47">
        <f t="shared" si="19"/>
        <v>110.70658165535021</v>
      </c>
      <c r="U47">
        <f t="shared" si="20"/>
        <v>201.60861974475952</v>
      </c>
      <c r="V47">
        <f t="shared" si="21"/>
        <v>28.395690600068065</v>
      </c>
      <c r="W47" s="65">
        <f t="shared" si="13"/>
        <v>0.14751008103931462</v>
      </c>
      <c r="X47">
        <f t="shared" si="14"/>
        <v>4.793418344649794</v>
      </c>
      <c r="Y47" s="65">
        <f t="shared" si="22"/>
        <v>0.14751008103931462</v>
      </c>
      <c r="Z47">
        <f t="shared" si="23"/>
        <v>5.1251603693166174</v>
      </c>
      <c r="AA47" s="66">
        <f t="shared" si="24"/>
        <v>0.15237085464756128</v>
      </c>
      <c r="AB47">
        <f t="shared" si="25"/>
        <v>28.771906595314064</v>
      </c>
      <c r="AC47">
        <f t="shared" si="26"/>
        <v>29.764041305497308</v>
      </c>
    </row>
    <row r="48" spans="2:29" x14ac:dyDescent="0.15">
      <c r="B48">
        <f t="shared" si="3"/>
        <v>30</v>
      </c>
      <c r="C48">
        <f t="shared" si="0"/>
        <v>98.816666666666663</v>
      </c>
      <c r="D48">
        <f t="shared" si="1"/>
        <v>0.77922077922077926</v>
      </c>
      <c r="E48">
        <f t="shared" si="4"/>
        <v>44.646061958245966</v>
      </c>
      <c r="F48">
        <f t="shared" si="5"/>
        <v>69.440966505385006</v>
      </c>
      <c r="G48">
        <f t="shared" si="6"/>
        <v>70.304237296973142</v>
      </c>
      <c r="H48">
        <f t="shared" si="7"/>
        <v>28.512429369693521</v>
      </c>
      <c r="I48" s="65">
        <f t="shared" si="8"/>
        <v>0.14811651620620012</v>
      </c>
      <c r="J48">
        <f t="shared" si="9"/>
        <v>7.5590334946149937</v>
      </c>
      <c r="K48" s="65">
        <f t="shared" si="2"/>
        <v>0.14811651620620012</v>
      </c>
      <c r="L48">
        <f t="shared" si="10"/>
        <v>8.0547525045226536</v>
      </c>
      <c r="M48" s="66">
        <f t="shared" si="10"/>
        <v>0.15252418306811044</v>
      </c>
      <c r="N48">
        <f t="shared" si="11"/>
        <v>44.646061958245966</v>
      </c>
      <c r="O48">
        <f t="shared" si="12"/>
        <v>46.134264023520828</v>
      </c>
      <c r="P48">
        <f t="shared" si="15"/>
        <v>30</v>
      </c>
      <c r="Q48">
        <f t="shared" si="16"/>
        <v>222.33750000000001</v>
      </c>
      <c r="R48">
        <f t="shared" si="17"/>
        <v>0.51948051948051943</v>
      </c>
      <c r="S48">
        <f t="shared" si="18"/>
        <v>29.764041305497308</v>
      </c>
      <c r="T48">
        <f t="shared" si="19"/>
        <v>110.37483963068338</v>
      </c>
      <c r="U48">
        <f t="shared" si="20"/>
        <v>193.00611048034446</v>
      </c>
      <c r="V48">
        <f t="shared" si="21"/>
        <v>29.331389519655545</v>
      </c>
      <c r="W48" s="65">
        <f t="shared" si="13"/>
        <v>0.15237085464756128</v>
      </c>
      <c r="X48">
        <f t="shared" si="14"/>
        <v>5.1251603693166174</v>
      </c>
      <c r="Y48" s="65">
        <f t="shared" si="22"/>
        <v>0.15237085464756128</v>
      </c>
      <c r="Z48">
        <f t="shared" si="23"/>
        <v>5.4675265763590488</v>
      </c>
      <c r="AA48" s="66">
        <f t="shared" si="24"/>
        <v>0.15720895764737078</v>
      </c>
      <c r="AB48">
        <f t="shared" si="25"/>
        <v>29.764041305497308</v>
      </c>
      <c r="AC48">
        <f t="shared" si="26"/>
        <v>30.756176015680555</v>
      </c>
    </row>
    <row r="49" spans="2:29" x14ac:dyDescent="0.15">
      <c r="B49">
        <f t="shared" si="3"/>
        <v>31</v>
      </c>
      <c r="C49">
        <f t="shared" si="0"/>
        <v>95.629032258064512</v>
      </c>
      <c r="D49">
        <f t="shared" si="1"/>
        <v>0.80519480519480524</v>
      </c>
      <c r="E49">
        <f t="shared" si="4"/>
        <v>46.134264023520828</v>
      </c>
      <c r="F49">
        <f t="shared" si="5"/>
        <v>68.945247495477346</v>
      </c>
      <c r="G49">
        <f t="shared" si="6"/>
        <v>66.268127017453253</v>
      </c>
      <c r="H49">
        <f t="shared" si="7"/>
        <v>29.36090524061126</v>
      </c>
      <c r="I49" s="65">
        <f t="shared" si="8"/>
        <v>0.15252418306811044</v>
      </c>
      <c r="J49">
        <f t="shared" si="9"/>
        <v>8.0547525045226536</v>
      </c>
      <c r="K49" s="65">
        <f t="shared" si="2"/>
        <v>0.15252418306811044</v>
      </c>
      <c r="L49">
        <f t="shared" si="10"/>
        <v>8.564546896224229</v>
      </c>
      <c r="M49" s="66">
        <f t="shared" si="10"/>
        <v>0.15688134862186434</v>
      </c>
      <c r="N49">
        <f t="shared" si="11"/>
        <v>46.134264023520828</v>
      </c>
      <c r="O49">
        <f t="shared" si="12"/>
        <v>47.622466088795704</v>
      </c>
      <c r="P49">
        <f t="shared" si="15"/>
        <v>31</v>
      </c>
      <c r="Q49">
        <f t="shared" si="16"/>
        <v>215.16532258064515</v>
      </c>
      <c r="R49">
        <f t="shared" si="17"/>
        <v>0.53679653679653683</v>
      </c>
      <c r="S49">
        <f t="shared" si="18"/>
        <v>30.756176015680555</v>
      </c>
      <c r="T49">
        <f t="shared" si="19"/>
        <v>110.03247342364095</v>
      </c>
      <c r="U49">
        <f t="shared" si="20"/>
        <v>184.90259823352628</v>
      </c>
      <c r="V49">
        <f t="shared" si="21"/>
        <v>30.262724347118876</v>
      </c>
      <c r="W49" s="65">
        <f t="shared" si="13"/>
        <v>0.15720895764737078</v>
      </c>
      <c r="X49">
        <f t="shared" si="14"/>
        <v>5.4675265763590488</v>
      </c>
      <c r="Y49" s="65">
        <f t="shared" si="22"/>
        <v>0.15720895764737078</v>
      </c>
      <c r="Z49">
        <f t="shared" si="23"/>
        <v>5.8204557043482623</v>
      </c>
      <c r="AA49" s="66">
        <f t="shared" si="24"/>
        <v>0.16202368239828738</v>
      </c>
      <c r="AB49">
        <f t="shared" si="25"/>
        <v>30.756176015680555</v>
      </c>
      <c r="AC49">
        <f t="shared" si="26"/>
        <v>31.748310725863799</v>
      </c>
    </row>
    <row r="50" spans="2:29" x14ac:dyDescent="0.15">
      <c r="B50">
        <f t="shared" si="3"/>
        <v>32</v>
      </c>
      <c r="C50">
        <f t="shared" si="0"/>
        <v>92.640625</v>
      </c>
      <c r="D50">
        <f t="shared" si="1"/>
        <v>0.83116883116883122</v>
      </c>
      <c r="E50">
        <f t="shared" si="4"/>
        <v>47.622466088795704</v>
      </c>
      <c r="F50">
        <f t="shared" si="5"/>
        <v>68.435453103775771</v>
      </c>
      <c r="G50">
        <f t="shared" si="6"/>
        <v>62.440965390291112</v>
      </c>
      <c r="H50">
        <f t="shared" si="7"/>
        <v>30.199659609708888</v>
      </c>
      <c r="I50" s="65">
        <f t="shared" si="8"/>
        <v>0.15688134862186434</v>
      </c>
      <c r="J50">
        <f t="shared" si="9"/>
        <v>8.564546896224229</v>
      </c>
      <c r="K50" s="65">
        <f t="shared" si="2"/>
        <v>0.15688134862186434</v>
      </c>
      <c r="L50">
        <f t="shared" si="10"/>
        <v>9.0882130309852158</v>
      </c>
      <c r="M50" s="66">
        <f t="shared" si="10"/>
        <v>0.16118663555154183</v>
      </c>
      <c r="N50">
        <f t="shared" si="11"/>
        <v>47.622466088795704</v>
      </c>
      <c r="O50">
        <f t="shared" si="12"/>
        <v>49.110668154070567</v>
      </c>
      <c r="P50">
        <f t="shared" si="15"/>
        <v>32</v>
      </c>
      <c r="Q50">
        <f t="shared" si="16"/>
        <v>208.44140625</v>
      </c>
      <c r="R50">
        <f t="shared" si="17"/>
        <v>0.55411255411255411</v>
      </c>
      <c r="S50">
        <f t="shared" si="18"/>
        <v>31.748310725863799</v>
      </c>
      <c r="T50">
        <f t="shared" si="19"/>
        <v>109.67954429565174</v>
      </c>
      <c r="U50">
        <f t="shared" si="20"/>
        <v>177.25184738832968</v>
      </c>
      <c r="V50">
        <f t="shared" si="21"/>
        <v>31.189558861670321</v>
      </c>
      <c r="W50" s="65">
        <f t="shared" si="13"/>
        <v>0.16202368239828738</v>
      </c>
      <c r="X50">
        <f t="shared" si="14"/>
        <v>5.8204557043482623</v>
      </c>
      <c r="Y50" s="65">
        <f t="shared" si="22"/>
        <v>0.16202368239828738</v>
      </c>
      <c r="Z50">
        <f t="shared" si="23"/>
        <v>6.1838846248461721</v>
      </c>
      <c r="AA50" s="66">
        <f t="shared" si="24"/>
        <v>0.16681432591400203</v>
      </c>
      <c r="AB50">
        <f t="shared" si="25"/>
        <v>31.748310725863799</v>
      </c>
      <c r="AC50">
        <f t="shared" si="26"/>
        <v>32.74044543604704</v>
      </c>
    </row>
    <row r="51" spans="2:29" x14ac:dyDescent="0.15">
      <c r="B51">
        <f t="shared" si="3"/>
        <v>33</v>
      </c>
      <c r="C51">
        <f t="shared" ref="C51:C68" si="27">$B$17^2/(2*B51)</f>
        <v>89.833333333333329</v>
      </c>
      <c r="D51">
        <f t="shared" ref="D51:D68" si="28">$B$17/C51</f>
        <v>0.85714285714285721</v>
      </c>
      <c r="E51">
        <f t="shared" si="4"/>
        <v>49.110668154070567</v>
      </c>
      <c r="F51">
        <f t="shared" si="5"/>
        <v>67.911786969014784</v>
      </c>
      <c r="G51">
        <f t="shared" si="6"/>
        <v>58.804905989661528</v>
      </c>
      <c r="H51">
        <f t="shared" si="7"/>
        <v>31.028427343671801</v>
      </c>
      <c r="I51" s="65">
        <f t="shared" si="8"/>
        <v>0.16118663555154183</v>
      </c>
      <c r="J51">
        <f t="shared" si="9"/>
        <v>9.0882130309852158</v>
      </c>
      <c r="K51" s="65">
        <f t="shared" si="2"/>
        <v>0.16118663555154183</v>
      </c>
      <c r="L51">
        <f t="shared" si="10"/>
        <v>9.6255419145564645</v>
      </c>
      <c r="M51" s="66">
        <f t="shared" si="10"/>
        <v>0.16543868964130407</v>
      </c>
      <c r="N51">
        <f t="shared" si="11"/>
        <v>49.110668154070567</v>
      </c>
      <c r="O51">
        <f t="shared" si="12"/>
        <v>50.598870219345436</v>
      </c>
      <c r="P51">
        <f t="shared" si="15"/>
        <v>33</v>
      </c>
      <c r="Q51">
        <f t="shared" si="16"/>
        <v>202.125</v>
      </c>
      <c r="R51">
        <f t="shared" si="17"/>
        <v>0.5714285714285714</v>
      </c>
      <c r="S51">
        <f t="shared" si="18"/>
        <v>32.74044543604704</v>
      </c>
      <c r="T51">
        <f t="shared" si="19"/>
        <v>109.31611537515383</v>
      </c>
      <c r="U51">
        <f t="shared" si="20"/>
        <v>170.01324226155461</v>
      </c>
      <c r="V51">
        <f t="shared" si="21"/>
        <v>32.111757738445391</v>
      </c>
      <c r="W51" s="65">
        <f t="shared" si="13"/>
        <v>0.16681432591400203</v>
      </c>
      <c r="X51">
        <f t="shared" si="14"/>
        <v>6.1838846248461721</v>
      </c>
      <c r="Y51" s="65">
        <f t="shared" si="22"/>
        <v>0.16681432591400203</v>
      </c>
      <c r="Z51">
        <f t="shared" si="23"/>
        <v>6.5577483558823957</v>
      </c>
      <c r="AA51" s="66">
        <f t="shared" si="24"/>
        <v>0.17158019000099933</v>
      </c>
      <c r="AB51">
        <f t="shared" si="25"/>
        <v>32.74044543604704</v>
      </c>
      <c r="AC51">
        <f t="shared" si="26"/>
        <v>33.732580146230283</v>
      </c>
    </row>
    <row r="52" spans="2:29" x14ac:dyDescent="0.15">
      <c r="B52">
        <f t="shared" ref="B52:B68" si="29">B51+$A$19</f>
        <v>34</v>
      </c>
      <c r="C52">
        <f t="shared" si="27"/>
        <v>87.191176470588232</v>
      </c>
      <c r="D52">
        <f t="shared" si="28"/>
        <v>0.88311688311688319</v>
      </c>
      <c r="E52">
        <f t="shared" si="4"/>
        <v>50.598870219345436</v>
      </c>
      <c r="F52">
        <f t="shared" si="5"/>
        <v>67.374458085443536</v>
      </c>
      <c r="G52">
        <f t="shared" si="6"/>
        <v>55.344228714637197</v>
      </c>
      <c r="H52">
        <f t="shared" si="7"/>
        <v>31.846947755951035</v>
      </c>
      <c r="I52" s="65">
        <f t="shared" si="8"/>
        <v>0.16543868964130407</v>
      </c>
      <c r="J52">
        <f t="shared" si="9"/>
        <v>9.6255419145564645</v>
      </c>
      <c r="K52" s="65">
        <f t="shared" si="2"/>
        <v>0.16543868964130407</v>
      </c>
      <c r="L52">
        <f t="shared" si="10"/>
        <v>10.176319297091396</v>
      </c>
      <c r="M52" s="66">
        <f t="shared" si="10"/>
        <v>0.16963618036267436</v>
      </c>
      <c r="N52">
        <f t="shared" si="11"/>
        <v>50.598870219345436</v>
      </c>
      <c r="O52">
        <f t="shared" si="12"/>
        <v>52.087072284620291</v>
      </c>
      <c r="P52">
        <f t="shared" si="15"/>
        <v>34</v>
      </c>
      <c r="Q52">
        <f t="shared" si="16"/>
        <v>196.18014705882354</v>
      </c>
      <c r="R52">
        <f t="shared" si="17"/>
        <v>0.58874458874458868</v>
      </c>
      <c r="S52">
        <f t="shared" si="18"/>
        <v>33.732580146230283</v>
      </c>
      <c r="T52">
        <f t="shared" si="19"/>
        <v>108.9422516441176</v>
      </c>
      <c r="U52">
        <f t="shared" si="20"/>
        <v>163.15096048363117</v>
      </c>
      <c r="V52">
        <f t="shared" si="21"/>
        <v>33.029186575192369</v>
      </c>
      <c r="W52" s="65">
        <f t="shared" si="13"/>
        <v>0.17158019000099933</v>
      </c>
      <c r="X52">
        <f t="shared" si="14"/>
        <v>6.5577483558823957</v>
      </c>
      <c r="Y52" s="65">
        <f t="shared" si="22"/>
        <v>0.17158019000099933</v>
      </c>
      <c r="Z52">
        <f t="shared" si="23"/>
        <v>6.9419800758238779</v>
      </c>
      <c r="AA52" s="66">
        <f t="shared" si="24"/>
        <v>0.17632058139613166</v>
      </c>
      <c r="AB52">
        <f t="shared" si="25"/>
        <v>33.732580146230283</v>
      </c>
      <c r="AC52">
        <f t="shared" si="26"/>
        <v>34.724714856413527</v>
      </c>
    </row>
    <row r="53" spans="2:29" x14ac:dyDescent="0.15">
      <c r="B53">
        <f t="shared" si="29"/>
        <v>35</v>
      </c>
      <c r="C53">
        <f t="shared" si="27"/>
        <v>84.7</v>
      </c>
      <c r="D53">
        <f t="shared" si="28"/>
        <v>0.90909090909090906</v>
      </c>
      <c r="E53">
        <f t="shared" si="4"/>
        <v>52.087072284620291</v>
      </c>
      <c r="F53">
        <f t="shared" si="5"/>
        <v>66.823680702908604</v>
      </c>
      <c r="G53">
        <f t="shared" si="6"/>
        <v>52.045035280185189</v>
      </c>
      <c r="H53">
        <f t="shared" si="7"/>
        <v>32.654964719814814</v>
      </c>
      <c r="I53" s="65">
        <f t="shared" si="8"/>
        <v>0.16963618036267436</v>
      </c>
      <c r="J53">
        <f t="shared" si="9"/>
        <v>10.176319297091396</v>
      </c>
      <c r="K53" s="65">
        <f t="shared" si="2"/>
        <v>0.16963618036267436</v>
      </c>
      <c r="L53">
        <f t="shared" si="10"/>
        <v>10.740325775522649</v>
      </c>
      <c r="M53" s="66">
        <f t="shared" si="10"/>
        <v>0.17377780144991059</v>
      </c>
      <c r="N53">
        <f t="shared" si="11"/>
        <v>52.087072284620291</v>
      </c>
      <c r="O53">
        <f t="shared" si="12"/>
        <v>53.575274349895153</v>
      </c>
      <c r="P53">
        <f t="shared" si="15"/>
        <v>35</v>
      </c>
      <c r="Q53">
        <f t="shared" si="16"/>
        <v>190.57499999999999</v>
      </c>
      <c r="R53">
        <f t="shared" si="17"/>
        <v>0.60606060606060608</v>
      </c>
      <c r="S53">
        <f t="shared" si="18"/>
        <v>34.724714856413527</v>
      </c>
      <c r="T53">
        <f t="shared" si="19"/>
        <v>108.55801992417612</v>
      </c>
      <c r="U53">
        <f t="shared" si="20"/>
        <v>156.63328808124464</v>
      </c>
      <c r="V53">
        <f t="shared" si="21"/>
        <v>33.941711918755345</v>
      </c>
      <c r="W53" s="65">
        <f t="shared" si="13"/>
        <v>0.17632058139613166</v>
      </c>
      <c r="X53">
        <f t="shared" si="14"/>
        <v>6.9419800758238779</v>
      </c>
      <c r="Y53" s="65">
        <f t="shared" si="22"/>
        <v>0.17632058139613166</v>
      </c>
      <c r="Z53">
        <f t="shared" si="23"/>
        <v>7.3365111376343037</v>
      </c>
      <c r="AA53" s="66">
        <f t="shared" si="24"/>
        <v>0.18103481190308676</v>
      </c>
      <c r="AB53">
        <f t="shared" si="25"/>
        <v>34.724714856413527</v>
      </c>
      <c r="AC53">
        <f t="shared" si="26"/>
        <v>35.716849566596771</v>
      </c>
    </row>
    <row r="54" spans="2:29" x14ac:dyDescent="0.15">
      <c r="B54">
        <f t="shared" si="29"/>
        <v>36</v>
      </c>
      <c r="C54">
        <f t="shared" si="27"/>
        <v>82.347222222222229</v>
      </c>
      <c r="D54">
        <f t="shared" si="28"/>
        <v>0.93506493506493504</v>
      </c>
      <c r="E54">
        <f t="shared" si="4"/>
        <v>53.575274349895153</v>
      </c>
      <c r="F54">
        <f t="shared" si="5"/>
        <v>66.259674224477351</v>
      </c>
      <c r="G54">
        <f t="shared" si="6"/>
        <v>48.894995443114439</v>
      </c>
      <c r="H54">
        <f t="shared" si="7"/>
        <v>33.452226779107789</v>
      </c>
      <c r="I54" s="65">
        <f t="shared" si="8"/>
        <v>0.17377780144991059</v>
      </c>
      <c r="J54">
        <f t="shared" si="9"/>
        <v>10.740325775522649</v>
      </c>
      <c r="K54" s="65">
        <f t="shared" si="2"/>
        <v>0.17377780144991059</v>
      </c>
      <c r="L54">
        <f t="shared" si="10"/>
        <v>11.317336898345232</v>
      </c>
      <c r="M54" s="66">
        <f t="shared" si="10"/>
        <v>0.17786227146318567</v>
      </c>
      <c r="N54">
        <f t="shared" si="11"/>
        <v>53.575274349895153</v>
      </c>
      <c r="O54">
        <f t="shared" si="12"/>
        <v>55.063476415170022</v>
      </c>
      <c r="P54">
        <f t="shared" si="15"/>
        <v>36</v>
      </c>
      <c r="Q54">
        <f t="shared" si="16"/>
        <v>185.28125</v>
      </c>
      <c r="R54">
        <f t="shared" si="17"/>
        <v>0.62337662337662336</v>
      </c>
      <c r="S54">
        <f t="shared" si="18"/>
        <v>35.716849566596771</v>
      </c>
      <c r="T54">
        <f t="shared" si="19"/>
        <v>108.1634888623657</v>
      </c>
      <c r="U54">
        <f t="shared" si="20"/>
        <v>150.4320487086558</v>
      </c>
      <c r="V54">
        <f t="shared" si="21"/>
        <v>34.849201291344201</v>
      </c>
      <c r="W54" s="65">
        <f t="shared" si="13"/>
        <v>0.18103481190308676</v>
      </c>
      <c r="X54">
        <f t="shared" si="14"/>
        <v>7.3365111376343037</v>
      </c>
      <c r="Y54" s="65">
        <f t="shared" si="22"/>
        <v>0.18103481190308676</v>
      </c>
      <c r="Z54">
        <f t="shared" si="23"/>
        <v>7.7412710835193934</v>
      </c>
      <c r="AA54" s="66">
        <f t="shared" si="24"/>
        <v>0.18572219852771907</v>
      </c>
      <c r="AB54">
        <f t="shared" si="25"/>
        <v>35.716849566596771</v>
      </c>
      <c r="AC54">
        <f t="shared" si="26"/>
        <v>36.708984276780022</v>
      </c>
    </row>
    <row r="55" spans="2:29" x14ac:dyDescent="0.15">
      <c r="B55">
        <f t="shared" si="29"/>
        <v>37</v>
      </c>
      <c r="C55">
        <f t="shared" si="27"/>
        <v>80.121621621621628</v>
      </c>
      <c r="D55">
        <f t="shared" si="28"/>
        <v>0.96103896103896091</v>
      </c>
      <c r="E55">
        <f t="shared" si="4"/>
        <v>55.063476415170022</v>
      </c>
      <c r="F55">
        <f t="shared" si="5"/>
        <v>65.682663101654768</v>
      </c>
      <c r="G55">
        <f t="shared" si="6"/>
        <v>45.883134364958387</v>
      </c>
      <c r="H55">
        <f t="shared" si="7"/>
        <v>34.238487256663241</v>
      </c>
      <c r="I55" s="65">
        <f t="shared" si="8"/>
        <v>0.17786227146318567</v>
      </c>
      <c r="J55">
        <f t="shared" si="9"/>
        <v>11.317336898345232</v>
      </c>
      <c r="K55" s="65">
        <f t="shared" si="2"/>
        <v>0.17786227146318567</v>
      </c>
      <c r="L55">
        <f t="shared" si="10"/>
        <v>11.907123272751221</v>
      </c>
      <c r="M55" s="66">
        <f t="shared" si="10"/>
        <v>0.18188833433929766</v>
      </c>
      <c r="N55">
        <f t="shared" si="11"/>
        <v>55.063476415170022</v>
      </c>
      <c r="O55">
        <f t="shared" si="12"/>
        <v>56.551678480444892</v>
      </c>
      <c r="P55">
        <f t="shared" si="15"/>
        <v>37</v>
      </c>
      <c r="Q55">
        <f t="shared" si="16"/>
        <v>180.27364864864865</v>
      </c>
      <c r="R55">
        <f t="shared" si="17"/>
        <v>0.64069264069264076</v>
      </c>
      <c r="S55">
        <f t="shared" si="18"/>
        <v>36.708984276780022</v>
      </c>
      <c r="T55">
        <f t="shared" si="19"/>
        <v>107.75872891648061</v>
      </c>
      <c r="U55">
        <f t="shared" si="20"/>
        <v>144.52212543206272</v>
      </c>
      <c r="V55">
        <f t="shared" si="21"/>
        <v>35.751523216585923</v>
      </c>
      <c r="W55" s="65">
        <f t="shared" si="13"/>
        <v>0.18572219852771907</v>
      </c>
      <c r="X55">
        <f t="shared" si="14"/>
        <v>7.7412710835193934</v>
      </c>
      <c r="Y55" s="65">
        <f t="shared" si="22"/>
        <v>0.18572219852771907</v>
      </c>
      <c r="Z55">
        <f t="shared" si="23"/>
        <v>8.1561876599554353</v>
      </c>
      <c r="AA55" s="66">
        <f t="shared" si="24"/>
        <v>0.19038206361221527</v>
      </c>
      <c r="AB55">
        <f t="shared" si="25"/>
        <v>36.708984276780022</v>
      </c>
      <c r="AC55">
        <f t="shared" si="26"/>
        <v>37.701118986963259</v>
      </c>
    </row>
    <row r="56" spans="2:29" x14ac:dyDescent="0.15">
      <c r="B56">
        <f t="shared" si="29"/>
        <v>38</v>
      </c>
      <c r="C56">
        <f t="shared" si="27"/>
        <v>78.013157894736835</v>
      </c>
      <c r="D56">
        <f t="shared" si="28"/>
        <v>0.98701298701298712</v>
      </c>
      <c r="E56">
        <f t="shared" si="4"/>
        <v>56.551678480444892</v>
      </c>
      <c r="F56">
        <f t="shared" si="5"/>
        <v>65.092876727248779</v>
      </c>
      <c r="G56">
        <f t="shared" si="6"/>
        <v>42.999653534422038</v>
      </c>
      <c r="H56">
        <f t="shared" si="7"/>
        <v>35.013504360314798</v>
      </c>
      <c r="I56" s="65">
        <f t="shared" si="8"/>
        <v>0.18188833433929766</v>
      </c>
      <c r="J56">
        <f t="shared" si="9"/>
        <v>11.907123272751221</v>
      </c>
      <c r="K56" s="65">
        <f t="shared" si="2"/>
        <v>0.18188833433929766</v>
      </c>
      <c r="L56">
        <f t="shared" si="10"/>
        <v>12.50945067406019</v>
      </c>
      <c r="M56" s="66">
        <f t="shared" si="10"/>
        <v>0.18585475992963865</v>
      </c>
      <c r="N56">
        <f t="shared" si="11"/>
        <v>56.551678480444892</v>
      </c>
      <c r="O56">
        <f t="shared" si="12"/>
        <v>58.039880545719761</v>
      </c>
      <c r="P56">
        <f t="shared" si="15"/>
        <v>38</v>
      </c>
      <c r="Q56">
        <f t="shared" si="16"/>
        <v>175.52960526315789</v>
      </c>
      <c r="R56">
        <f t="shared" si="17"/>
        <v>0.65800865800865804</v>
      </c>
      <c r="S56">
        <f t="shared" si="18"/>
        <v>37.701118986963259</v>
      </c>
      <c r="T56">
        <f t="shared" si="19"/>
        <v>107.34381234004456</v>
      </c>
      <c r="U56">
        <f t="shared" si="20"/>
        <v>138.88105801780645</v>
      </c>
      <c r="V56">
        <f t="shared" si="21"/>
        <v>36.648547245351438</v>
      </c>
      <c r="W56" s="65">
        <f t="shared" si="13"/>
        <v>0.19038206361221527</v>
      </c>
      <c r="X56">
        <f t="shared" si="14"/>
        <v>8.1561876599554353</v>
      </c>
      <c r="Y56" s="65">
        <f t="shared" si="22"/>
        <v>0.19038206361221527</v>
      </c>
      <c r="Z56">
        <f t="shared" si="23"/>
        <v>8.5811868330966661</v>
      </c>
      <c r="AA56" s="66">
        <f t="shared" si="24"/>
        <v>0.19501373496806323</v>
      </c>
      <c r="AB56">
        <f t="shared" si="25"/>
        <v>37.701118986963259</v>
      </c>
      <c r="AC56">
        <f t="shared" si="26"/>
        <v>38.693253697146503</v>
      </c>
    </row>
    <row r="57" spans="2:29" x14ac:dyDescent="0.15">
      <c r="B57">
        <f t="shared" si="29"/>
        <v>39</v>
      </c>
      <c r="C57">
        <f t="shared" si="27"/>
        <v>76.012820512820511</v>
      </c>
      <c r="D57">
        <f t="shared" si="28"/>
        <v>1.0129870129870131</v>
      </c>
      <c r="E57">
        <f t="shared" si="4"/>
        <v>58.039880545719761</v>
      </c>
      <c r="F57">
        <f t="shared" si="5"/>
        <v>64.49054932593981</v>
      </c>
      <c r="G57">
        <f t="shared" si="6"/>
        <v>40.235779226365068</v>
      </c>
      <c r="H57">
        <f t="shared" si="7"/>
        <v>35.777041286455443</v>
      </c>
      <c r="I57" s="65">
        <f t="shared" si="8"/>
        <v>0.18585475992963865</v>
      </c>
      <c r="J57">
        <f t="shared" si="9"/>
        <v>12.50945067406019</v>
      </c>
      <c r="K57" s="65">
        <f t="shared" si="2"/>
        <v>0.18585475992963865</v>
      </c>
      <c r="L57">
        <f t="shared" si="10"/>
        <v>13.124080157388413</v>
      </c>
      <c r="M57" s="66">
        <f t="shared" si="10"/>
        <v>0.18976034452515933</v>
      </c>
      <c r="N57">
        <f t="shared" si="11"/>
        <v>58.039880545719761</v>
      </c>
      <c r="O57">
        <f t="shared" si="12"/>
        <v>59.528082610994623</v>
      </c>
      <c r="P57">
        <f t="shared" si="15"/>
        <v>39</v>
      </c>
      <c r="Q57">
        <f t="shared" si="16"/>
        <v>171.02884615384616</v>
      </c>
      <c r="R57">
        <f t="shared" si="17"/>
        <v>0.67532467532467533</v>
      </c>
      <c r="S57">
        <f t="shared" si="18"/>
        <v>38.693253697146503</v>
      </c>
      <c r="T57">
        <f t="shared" si="19"/>
        <v>106.91881316690333</v>
      </c>
      <c r="U57">
        <f t="shared" si="20"/>
        <v>133.48870217249399</v>
      </c>
      <c r="V57">
        <f t="shared" si="21"/>
        <v>37.540143981352173</v>
      </c>
      <c r="W57" s="65">
        <f t="shared" si="13"/>
        <v>0.19501373496806323</v>
      </c>
      <c r="X57">
        <f t="shared" si="14"/>
        <v>8.5811868330966661</v>
      </c>
      <c r="Y57" s="65">
        <f t="shared" si="22"/>
        <v>0.19501373496806323</v>
      </c>
      <c r="Z57">
        <f t="shared" si="23"/>
        <v>9.0161928045588269</v>
      </c>
      <c r="AA57" s="66">
        <f t="shared" si="24"/>
        <v>0.19961654600779671</v>
      </c>
      <c r="AB57">
        <f t="shared" si="25"/>
        <v>38.693253697146503</v>
      </c>
      <c r="AC57">
        <f t="shared" si="26"/>
        <v>39.685388407329746</v>
      </c>
    </row>
    <row r="58" spans="2:29" x14ac:dyDescent="0.15">
      <c r="B58">
        <f t="shared" si="29"/>
        <v>40</v>
      </c>
      <c r="C58">
        <f t="shared" si="27"/>
        <v>74.112499999999997</v>
      </c>
      <c r="D58">
        <f t="shared" si="28"/>
        <v>1.0389610389610391</v>
      </c>
      <c r="E58">
        <f t="shared" si="4"/>
        <v>59.528082610994623</v>
      </c>
      <c r="F58">
        <f t="shared" si="5"/>
        <v>63.875919842611587</v>
      </c>
      <c r="G58">
        <f t="shared" si="6"/>
        <v>37.583633678906828</v>
      </c>
      <c r="H58">
        <f t="shared" si="7"/>
        <v>36.528866321093169</v>
      </c>
      <c r="I58" s="65">
        <f t="shared" si="8"/>
        <v>0.18976034452515933</v>
      </c>
      <c r="J58">
        <f t="shared" si="9"/>
        <v>13.124080157388413</v>
      </c>
      <c r="K58" s="65">
        <f t="shared" si="2"/>
        <v>0.18976034452515933</v>
      </c>
      <c r="L58">
        <f t="shared" si="10"/>
        <v>13.750768171498457</v>
      </c>
      <c r="M58" s="66">
        <f t="shared" si="10"/>
        <v>0.19360391136807056</v>
      </c>
      <c r="N58">
        <f t="shared" si="11"/>
        <v>59.528082610994623</v>
      </c>
      <c r="O58">
        <f t="shared" si="12"/>
        <v>61.016284676269478</v>
      </c>
      <c r="P58">
        <f t="shared" si="15"/>
        <v>40</v>
      </c>
      <c r="Q58">
        <f t="shared" si="16"/>
        <v>166.75312500000001</v>
      </c>
      <c r="R58">
        <f t="shared" si="17"/>
        <v>0.69264069264069261</v>
      </c>
      <c r="S58">
        <f t="shared" si="18"/>
        <v>39.685388407329746</v>
      </c>
      <c r="T58">
        <f t="shared" si="19"/>
        <v>106.48380719544117</v>
      </c>
      <c r="U58">
        <f t="shared" si="20"/>
        <v>128.32693989349914</v>
      </c>
      <c r="V58">
        <f t="shared" si="21"/>
        <v>38.426185106500867</v>
      </c>
      <c r="W58" s="65">
        <f t="shared" si="13"/>
        <v>0.19961654600779671</v>
      </c>
      <c r="X58">
        <f t="shared" si="14"/>
        <v>9.0161928045588269</v>
      </c>
      <c r="Y58" s="65">
        <f t="shared" si="22"/>
        <v>0.19961654600779671</v>
      </c>
      <c r="Z58">
        <f t="shared" si="23"/>
        <v>9.4611280275745742</v>
      </c>
      <c r="AA58" s="66">
        <f t="shared" si="24"/>
        <v>0.20418983587548298</v>
      </c>
      <c r="AB58">
        <f t="shared" si="25"/>
        <v>39.685388407329746</v>
      </c>
      <c r="AC58">
        <f t="shared" si="26"/>
        <v>40.677523117512983</v>
      </c>
    </row>
    <row r="59" spans="2:29" x14ac:dyDescent="0.15">
      <c r="B59">
        <f t="shared" si="29"/>
        <v>41</v>
      </c>
      <c r="C59">
        <f t="shared" si="27"/>
        <v>72.304878048780495</v>
      </c>
      <c r="D59">
        <f t="shared" si="28"/>
        <v>1.0649350649350648</v>
      </c>
      <c r="E59">
        <f t="shared" si="4"/>
        <v>61.016284676269478</v>
      </c>
      <c r="F59">
        <f t="shared" si="5"/>
        <v>63.249231828501543</v>
      </c>
      <c r="G59">
        <f t="shared" si="6"/>
        <v>35.036125110426909</v>
      </c>
      <c r="H59">
        <f t="shared" si="7"/>
        <v>37.268752938353586</v>
      </c>
      <c r="I59" s="65">
        <f t="shared" si="8"/>
        <v>0.19360391136807056</v>
      </c>
      <c r="J59">
        <f t="shared" si="9"/>
        <v>13.750768171498457</v>
      </c>
      <c r="K59" s="65">
        <f t="shared" si="2"/>
        <v>0.19360391136807056</v>
      </c>
      <c r="L59">
        <f t="shared" si="10"/>
        <v>14.389266674770042</v>
      </c>
      <c r="M59" s="66">
        <f t="shared" si="10"/>
        <v>0.19738431115003352</v>
      </c>
      <c r="N59">
        <f t="shared" si="11"/>
        <v>61.016284676269478</v>
      </c>
      <c r="O59">
        <f t="shared" si="12"/>
        <v>62.504486741544362</v>
      </c>
      <c r="P59">
        <f t="shared" si="15"/>
        <v>41</v>
      </c>
      <c r="Q59">
        <f t="shared" si="16"/>
        <v>162.6859756097561</v>
      </c>
      <c r="R59">
        <f t="shared" si="17"/>
        <v>0.7099567099567099</v>
      </c>
      <c r="S59">
        <f t="shared" si="18"/>
        <v>40.677523117512983</v>
      </c>
      <c r="T59">
        <f t="shared" si="19"/>
        <v>106.03887197242543</v>
      </c>
      <c r="U59">
        <f t="shared" si="20"/>
        <v>123.37943220372563</v>
      </c>
      <c r="V59">
        <f t="shared" si="21"/>
        <v>39.306543406030471</v>
      </c>
      <c r="W59" s="65">
        <f t="shared" si="13"/>
        <v>0.20418983587548298</v>
      </c>
      <c r="X59">
        <f t="shared" si="14"/>
        <v>9.4611280275745742</v>
      </c>
      <c r="Y59" s="65">
        <f t="shared" si="22"/>
        <v>0.20418983587548298</v>
      </c>
      <c r="Z59">
        <f t="shared" si="23"/>
        <v>9.9159132235171938</v>
      </c>
      <c r="AA59" s="66">
        <f t="shared" si="24"/>
        <v>0.20873294957592869</v>
      </c>
      <c r="AB59">
        <f t="shared" si="25"/>
        <v>40.677523117512983</v>
      </c>
      <c r="AC59">
        <f t="shared" si="26"/>
        <v>41.669657827696234</v>
      </c>
    </row>
    <row r="60" spans="2:29" x14ac:dyDescent="0.15">
      <c r="B60">
        <f t="shared" si="29"/>
        <v>42</v>
      </c>
      <c r="C60">
        <f t="shared" si="27"/>
        <v>70.583333333333329</v>
      </c>
      <c r="D60">
        <f t="shared" si="28"/>
        <v>1.0909090909090911</v>
      </c>
      <c r="E60">
        <f t="shared" si="4"/>
        <v>62.504486741544362</v>
      </c>
      <c r="F60">
        <f t="shared" si="5"/>
        <v>62.610733325229958</v>
      </c>
      <c r="G60">
        <f t="shared" si="6"/>
        <v>32.586853436951877</v>
      </c>
      <c r="H60">
        <f t="shared" si="7"/>
        <v>37.996479896381452</v>
      </c>
      <c r="I60" s="65">
        <f t="shared" si="8"/>
        <v>0.19738431115003352</v>
      </c>
      <c r="J60">
        <f t="shared" si="9"/>
        <v>14.389266674770042</v>
      </c>
      <c r="K60" s="65">
        <f t="shared" si="2"/>
        <v>0.19738431115003352</v>
      </c>
      <c r="L60">
        <f t="shared" si="10"/>
        <v>15.039323253231693</v>
      </c>
      <c r="M60" s="66">
        <f t="shared" si="10"/>
        <v>0.20110042249659366</v>
      </c>
      <c r="N60">
        <f t="shared" si="11"/>
        <v>62.504486741544362</v>
      </c>
      <c r="O60">
        <f t="shared" si="12"/>
        <v>63.99268880681921</v>
      </c>
      <c r="P60">
        <f t="shared" si="15"/>
        <v>42</v>
      </c>
      <c r="Q60">
        <f t="shared" si="16"/>
        <v>158.8125</v>
      </c>
      <c r="R60">
        <f t="shared" si="17"/>
        <v>0.72727272727272729</v>
      </c>
      <c r="S60">
        <f t="shared" si="18"/>
        <v>41.669657827696234</v>
      </c>
      <c r="T60">
        <f t="shared" si="19"/>
        <v>105.58408677648281</v>
      </c>
      <c r="U60">
        <f t="shared" si="20"/>
        <v>118.63140720663372</v>
      </c>
      <c r="V60">
        <f t="shared" si="21"/>
        <v>40.181092793366275</v>
      </c>
      <c r="W60" s="65">
        <f t="shared" si="13"/>
        <v>0.20873294957592869</v>
      </c>
      <c r="X60">
        <f t="shared" si="14"/>
        <v>9.9159132235171938</v>
      </c>
      <c r="Y60" s="65">
        <f t="shared" si="22"/>
        <v>0.20873294957592869</v>
      </c>
      <c r="Z60">
        <f t="shared" si="23"/>
        <v>10.380467398788923</v>
      </c>
      <c r="AA60" s="66">
        <f t="shared" si="24"/>
        <v>0.21324523810257176</v>
      </c>
      <c r="AB60">
        <f t="shared" si="25"/>
        <v>41.669657827696234</v>
      </c>
      <c r="AC60">
        <f t="shared" si="26"/>
        <v>42.661792537879478</v>
      </c>
    </row>
    <row r="61" spans="2:29" x14ac:dyDescent="0.15">
      <c r="B61">
        <f t="shared" si="29"/>
        <v>43</v>
      </c>
      <c r="C61">
        <f t="shared" si="27"/>
        <v>68.941860465116278</v>
      </c>
      <c r="D61">
        <f t="shared" si="28"/>
        <v>1.1168831168831168</v>
      </c>
      <c r="E61">
        <f t="shared" si="4"/>
        <v>63.99268880681921</v>
      </c>
      <c r="F61">
        <f t="shared" si="5"/>
        <v>61.960676746768307</v>
      </c>
      <c r="G61">
        <f t="shared" si="6"/>
        <v>30.230029134521995</v>
      </c>
      <c r="H61">
        <f t="shared" si="7"/>
        <v>38.711831330594279</v>
      </c>
      <c r="I61" s="65">
        <f t="shared" si="8"/>
        <v>0.20110042249659366</v>
      </c>
      <c r="J61">
        <f t="shared" si="9"/>
        <v>15.039323253231693</v>
      </c>
      <c r="K61" s="65">
        <f t="shared" si="2"/>
        <v>0.20110042249659366</v>
      </c>
      <c r="L61">
        <f t="shared" si="10"/>
        <v>15.700681240591777</v>
      </c>
      <c r="M61" s="66">
        <f t="shared" si="10"/>
        <v>0.20475115243762623</v>
      </c>
      <c r="N61">
        <f t="shared" si="11"/>
        <v>63.99268880681921</v>
      </c>
      <c r="O61">
        <f t="shared" si="12"/>
        <v>65.480890872094079</v>
      </c>
      <c r="P61">
        <f t="shared" si="15"/>
        <v>43</v>
      </c>
      <c r="Q61">
        <f t="shared" si="16"/>
        <v>155.11918604651163</v>
      </c>
      <c r="R61">
        <f t="shared" si="17"/>
        <v>0.74458874458874458</v>
      </c>
      <c r="S61">
        <f t="shared" si="18"/>
        <v>42.661792537879478</v>
      </c>
      <c r="T61">
        <f t="shared" si="19"/>
        <v>105.11953260121108</v>
      </c>
      <c r="U61">
        <f t="shared" si="20"/>
        <v>114.06947771176657</v>
      </c>
      <c r="V61">
        <f t="shared" si="21"/>
        <v>41.049708334745063</v>
      </c>
      <c r="W61" s="65">
        <f t="shared" si="13"/>
        <v>0.21324523810257176</v>
      </c>
      <c r="X61">
        <f t="shared" si="14"/>
        <v>10.380467398788923</v>
      </c>
      <c r="Y61" s="65">
        <f t="shared" si="22"/>
        <v>0.21324523810257176</v>
      </c>
      <c r="Z61">
        <f t="shared" si="23"/>
        <v>10.854707862069688</v>
      </c>
      <c r="AA61" s="66">
        <f t="shared" si="24"/>
        <v>0.21772605856403335</v>
      </c>
      <c r="AB61">
        <f t="shared" si="25"/>
        <v>42.661792537879478</v>
      </c>
      <c r="AC61">
        <f t="shared" si="26"/>
        <v>43.653927248062722</v>
      </c>
    </row>
    <row r="62" spans="2:29" x14ac:dyDescent="0.15">
      <c r="B62">
        <f t="shared" si="29"/>
        <v>44</v>
      </c>
      <c r="C62">
        <f t="shared" si="27"/>
        <v>67.375</v>
      </c>
      <c r="D62">
        <f t="shared" si="28"/>
        <v>1.1428571428571428</v>
      </c>
      <c r="E62">
        <f t="shared" si="4"/>
        <v>65.480890872094079</v>
      </c>
      <c r="F62">
        <f t="shared" si="5"/>
        <v>61.299318759408223</v>
      </c>
      <c r="G62">
        <f t="shared" si="6"/>
        <v>27.960403155756946</v>
      </c>
      <c r="H62">
        <f t="shared" si="7"/>
        <v>39.41459684424305</v>
      </c>
      <c r="I62" s="65">
        <f t="shared" si="8"/>
        <v>0.20475115243762623</v>
      </c>
      <c r="J62">
        <f t="shared" si="9"/>
        <v>15.700681240591777</v>
      </c>
      <c r="K62" s="65">
        <f t="shared" si="2"/>
        <v>0.20475115243762623</v>
      </c>
      <c r="L62">
        <f t="shared" si="10"/>
        <v>16.373079840206394</v>
      </c>
      <c r="M62" s="66">
        <f t="shared" si="10"/>
        <v>0.20833543686356165</v>
      </c>
      <c r="N62">
        <f t="shared" si="11"/>
        <v>65.480890872094079</v>
      </c>
      <c r="O62">
        <f t="shared" si="12"/>
        <v>66.969092937368941</v>
      </c>
      <c r="P62">
        <f t="shared" si="15"/>
        <v>44</v>
      </c>
      <c r="Q62">
        <f t="shared" si="16"/>
        <v>151.59375</v>
      </c>
      <c r="R62">
        <f t="shared" si="17"/>
        <v>0.76190476190476186</v>
      </c>
      <c r="S62">
        <f t="shared" si="18"/>
        <v>43.653927248062722</v>
      </c>
      <c r="T62">
        <f t="shared" si="19"/>
        <v>104.64529213793031</v>
      </c>
      <c r="U62">
        <f t="shared" si="20"/>
        <v>109.68148372642358</v>
      </c>
      <c r="V62">
        <f t="shared" si="21"/>
        <v>41.912266273576421</v>
      </c>
      <c r="W62" s="65">
        <f t="shared" si="13"/>
        <v>0.21772605856403335</v>
      </c>
      <c r="X62">
        <f t="shared" si="14"/>
        <v>10.854707862069688</v>
      </c>
      <c r="Y62" s="65">
        <f t="shared" si="22"/>
        <v>0.21772605856403335</v>
      </c>
      <c r="Z62">
        <f t="shared" si="23"/>
        <v>11.338550241922491</v>
      </c>
      <c r="AA62" s="66">
        <f t="shared" si="24"/>
        <v>0.22217477430930013</v>
      </c>
      <c r="AB62">
        <f t="shared" si="25"/>
        <v>43.653927248062722</v>
      </c>
      <c r="AC62">
        <f t="shared" si="26"/>
        <v>44.646061958245966</v>
      </c>
    </row>
    <row r="63" spans="2:29" x14ac:dyDescent="0.15">
      <c r="B63">
        <f t="shared" si="29"/>
        <v>45</v>
      </c>
      <c r="C63">
        <f t="shared" si="27"/>
        <v>65.87777777777778</v>
      </c>
      <c r="D63">
        <f t="shared" si="28"/>
        <v>1.1688311688311688</v>
      </c>
      <c r="E63">
        <f t="shared" si="4"/>
        <v>66.969092937368941</v>
      </c>
      <c r="F63">
        <f t="shared" si="5"/>
        <v>60.626920159793606</v>
      </c>
      <c r="G63">
        <f t="shared" si="6"/>
        <v>25.773206181542164</v>
      </c>
      <c r="H63">
        <f t="shared" si="7"/>
        <v>40.104571596235616</v>
      </c>
      <c r="I63" s="65">
        <f t="shared" si="8"/>
        <v>0.20833543686356165</v>
      </c>
      <c r="J63">
        <f t="shared" si="9"/>
        <v>16.373079840206394</v>
      </c>
      <c r="K63" s="65">
        <f t="shared" si="2"/>
        <v>0.20833543686356165</v>
      </c>
      <c r="L63">
        <f t="shared" si="10"/>
        <v>17.05625424892083</v>
      </c>
      <c r="M63" s="66">
        <f t="shared" si="10"/>
        <v>0.21185224096717364</v>
      </c>
      <c r="N63">
        <f t="shared" si="11"/>
        <v>66.969092937368941</v>
      </c>
      <c r="O63">
        <f t="shared" si="12"/>
        <v>68.457295002643818</v>
      </c>
      <c r="P63">
        <f t="shared" si="15"/>
        <v>45</v>
      </c>
      <c r="Q63">
        <f t="shared" si="16"/>
        <v>148.22499999999999</v>
      </c>
      <c r="R63">
        <f t="shared" si="17"/>
        <v>0.77922077922077926</v>
      </c>
      <c r="S63">
        <f t="shared" si="18"/>
        <v>44.646061958245966</v>
      </c>
      <c r="T63">
        <f t="shared" si="19"/>
        <v>104.16144975807751</v>
      </c>
      <c r="U63">
        <f t="shared" si="20"/>
        <v>105.45635594545972</v>
      </c>
      <c r="V63">
        <f t="shared" si="21"/>
        <v>42.768644054540275</v>
      </c>
      <c r="W63" s="65">
        <f t="shared" si="13"/>
        <v>0.22217477430930013</v>
      </c>
      <c r="X63">
        <f t="shared" si="14"/>
        <v>11.338550241922491</v>
      </c>
      <c r="Y63" s="65">
        <f t="shared" si="22"/>
        <v>0.22217477430930013</v>
      </c>
      <c r="Z63">
        <f t="shared" si="23"/>
        <v>11.831908504751198</v>
      </c>
      <c r="AA63" s="66">
        <f t="shared" si="24"/>
        <v>0.22659075505151066</v>
      </c>
      <c r="AB63">
        <f t="shared" si="25"/>
        <v>44.646061958245966</v>
      </c>
      <c r="AC63">
        <f t="shared" si="26"/>
        <v>45.63819666842921</v>
      </c>
    </row>
    <row r="64" spans="2:29" x14ac:dyDescent="0.15">
      <c r="B64">
        <f t="shared" si="29"/>
        <v>46</v>
      </c>
      <c r="C64">
        <f t="shared" si="27"/>
        <v>64.445652173913047</v>
      </c>
      <c r="D64">
        <f t="shared" si="28"/>
        <v>1.1948051948051948</v>
      </c>
      <c r="E64">
        <f t="shared" si="4"/>
        <v>68.457295002643818</v>
      </c>
      <c r="F64">
        <f t="shared" si="5"/>
        <v>59.94374575107917</v>
      </c>
      <c r="G64">
        <f t="shared" si="6"/>
        <v>23.664095787732126</v>
      </c>
      <c r="H64">
        <f t="shared" si="7"/>
        <v>40.781556386180924</v>
      </c>
      <c r="I64" s="65">
        <f t="shared" si="8"/>
        <v>0.21185224096717364</v>
      </c>
      <c r="J64">
        <f t="shared" si="9"/>
        <v>17.05625424892083</v>
      </c>
      <c r="K64" s="65">
        <f t="shared" si="2"/>
        <v>0.21185224096717364</v>
      </c>
      <c r="L64">
        <f t="shared" si="10"/>
        <v>17.749935782720101</v>
      </c>
      <c r="M64" s="66">
        <f t="shared" si="10"/>
        <v>0.21530055967071587</v>
      </c>
      <c r="N64">
        <f t="shared" si="11"/>
        <v>68.457295002643818</v>
      </c>
      <c r="O64">
        <f t="shared" si="12"/>
        <v>69.94549706791868</v>
      </c>
      <c r="P64">
        <f t="shared" si="15"/>
        <v>46</v>
      </c>
      <c r="Q64">
        <f t="shared" si="16"/>
        <v>145.00271739130434</v>
      </c>
      <c r="R64">
        <f t="shared" si="17"/>
        <v>0.79653679653679654</v>
      </c>
      <c r="S64">
        <f t="shared" si="18"/>
        <v>45.63819666842921</v>
      </c>
      <c r="T64">
        <f t="shared" si="19"/>
        <v>103.6680914952488</v>
      </c>
      <c r="U64">
        <f t="shared" si="20"/>
        <v>101.38399704388854</v>
      </c>
      <c r="V64">
        <f t="shared" si="21"/>
        <v>43.618720347415803</v>
      </c>
      <c r="W64" s="65">
        <f t="shared" si="13"/>
        <v>0.22659075505151066</v>
      </c>
      <c r="X64">
        <f t="shared" si="14"/>
        <v>11.831908504751198</v>
      </c>
      <c r="Y64" s="65">
        <f t="shared" si="22"/>
        <v>0.22659075505151066</v>
      </c>
      <c r="Z64">
        <f t="shared" si="23"/>
        <v>12.334694973106551</v>
      </c>
      <c r="AA64" s="66">
        <f t="shared" si="24"/>
        <v>0.23097337699031717</v>
      </c>
      <c r="AB64">
        <f t="shared" si="25"/>
        <v>45.63819666842921</v>
      </c>
      <c r="AC64">
        <f t="shared" si="26"/>
        <v>46.630331378612453</v>
      </c>
    </row>
    <row r="65" spans="2:29" x14ac:dyDescent="0.15">
      <c r="B65">
        <f t="shared" si="29"/>
        <v>47</v>
      </c>
      <c r="C65">
        <f t="shared" si="27"/>
        <v>63.074468085106382</v>
      </c>
      <c r="D65">
        <f t="shared" si="28"/>
        <v>1.2207792207792207</v>
      </c>
      <c r="E65">
        <f t="shared" si="4"/>
        <v>69.94549706791868</v>
      </c>
      <c r="F65">
        <f t="shared" si="5"/>
        <v>59.250064217279899</v>
      </c>
      <c r="G65">
        <f t="shared" si="6"/>
        <v>21.629110348493576</v>
      </c>
      <c r="H65">
        <f t="shared" si="7"/>
        <v>41.445357736612806</v>
      </c>
      <c r="I65" s="65">
        <f t="shared" si="8"/>
        <v>0.21530055967071587</v>
      </c>
      <c r="J65">
        <f t="shared" si="9"/>
        <v>17.749935782720101</v>
      </c>
      <c r="K65" s="65">
        <f t="shared" si="2"/>
        <v>0.21530055967071587</v>
      </c>
      <c r="L65">
        <f t="shared" si="10"/>
        <v>18.453852004123291</v>
      </c>
      <c r="M65" s="66">
        <f t="shared" si="10"/>
        <v>0.21867941803820332</v>
      </c>
      <c r="N65">
        <f t="shared" si="11"/>
        <v>69.94549706791868</v>
      </c>
      <c r="O65">
        <f t="shared" si="12"/>
        <v>71.433699133193542</v>
      </c>
      <c r="P65">
        <f t="shared" si="15"/>
        <v>47</v>
      </c>
      <c r="Q65">
        <f t="shared" si="16"/>
        <v>141.91755319148936</v>
      </c>
      <c r="R65">
        <f t="shared" si="17"/>
        <v>0.81385281385281383</v>
      </c>
      <c r="S65">
        <f t="shared" si="18"/>
        <v>46.630331378612453</v>
      </c>
      <c r="T65">
        <f t="shared" si="19"/>
        <v>103.16530502689345</v>
      </c>
      <c r="U65">
        <f t="shared" si="20"/>
        <v>97.455178120853304</v>
      </c>
      <c r="V65">
        <f t="shared" si="21"/>
        <v>44.462375070636057</v>
      </c>
      <c r="W65" s="65">
        <f t="shared" si="13"/>
        <v>0.23097337699031717</v>
      </c>
      <c r="X65">
        <f t="shared" si="14"/>
        <v>12.334694973106551</v>
      </c>
      <c r="Y65" s="65">
        <f t="shared" si="22"/>
        <v>0.23097337699031717</v>
      </c>
      <c r="Z65">
        <f t="shared" si="23"/>
        <v>12.846820344336351</v>
      </c>
      <c r="AA65" s="66">
        <f t="shared" si="24"/>
        <v>0.2353220229327965</v>
      </c>
      <c r="AB65">
        <f t="shared" si="25"/>
        <v>46.630331378612453</v>
      </c>
      <c r="AC65">
        <f t="shared" si="26"/>
        <v>47.622466088795704</v>
      </c>
    </row>
    <row r="66" spans="2:29" x14ac:dyDescent="0.15">
      <c r="B66">
        <f t="shared" si="29"/>
        <v>48</v>
      </c>
      <c r="C66">
        <f t="shared" si="27"/>
        <v>61.760416666666664</v>
      </c>
      <c r="D66">
        <f t="shared" si="28"/>
        <v>1.2467532467532467</v>
      </c>
      <c r="E66">
        <f t="shared" si="4"/>
        <v>71.433699133193542</v>
      </c>
      <c r="F66">
        <f t="shared" si="5"/>
        <v>58.546147995876709</v>
      </c>
      <c r="G66">
        <f t="shared" si="6"/>
        <v>19.664628694312526</v>
      </c>
      <c r="H66">
        <f t="shared" si="7"/>
        <v>42.095787972354138</v>
      </c>
      <c r="I66" s="65">
        <f t="shared" si="8"/>
        <v>0.21867941803820332</v>
      </c>
      <c r="J66">
        <f t="shared" si="9"/>
        <v>18.453852004123291</v>
      </c>
      <c r="K66" s="65">
        <f t="shared" si="2"/>
        <v>0.21867941803820332</v>
      </c>
      <c r="L66">
        <f t="shared" si="10"/>
        <v>19.16772685125563</v>
      </c>
      <c r="M66" s="66">
        <f t="shared" si="10"/>
        <v>0.22198787167264059</v>
      </c>
      <c r="N66">
        <f t="shared" si="11"/>
        <v>71.433699133193542</v>
      </c>
      <c r="O66">
        <f t="shared" si="12"/>
        <v>72.921901198468419</v>
      </c>
      <c r="P66">
        <f t="shared" si="15"/>
        <v>48</v>
      </c>
      <c r="Q66">
        <f t="shared" si="16"/>
        <v>138.9609375</v>
      </c>
      <c r="R66">
        <f t="shared" si="17"/>
        <v>0.83116883116883122</v>
      </c>
      <c r="S66">
        <f t="shared" si="18"/>
        <v>47.622466088795704</v>
      </c>
      <c r="T66">
        <f t="shared" si="19"/>
        <v>102.65317965566365</v>
      </c>
      <c r="U66">
        <f t="shared" si="20"/>
        <v>93.661448085436675</v>
      </c>
      <c r="V66">
        <f t="shared" si="21"/>
        <v>45.299489414563325</v>
      </c>
      <c r="W66" s="65">
        <f t="shared" si="13"/>
        <v>0.2353220229327965</v>
      </c>
      <c r="X66">
        <f t="shared" si="14"/>
        <v>12.846820344336351</v>
      </c>
      <c r="Y66" s="65">
        <f t="shared" si="22"/>
        <v>0.2353220229327965</v>
      </c>
      <c r="Z66">
        <f t="shared" si="23"/>
        <v>13.36819370957528</v>
      </c>
      <c r="AA66" s="66">
        <f t="shared" si="24"/>
        <v>0.23963608241288353</v>
      </c>
      <c r="AB66">
        <f t="shared" si="25"/>
        <v>47.622466088795704</v>
      </c>
      <c r="AC66">
        <f t="shared" si="26"/>
        <v>48.614600798978941</v>
      </c>
    </row>
    <row r="67" spans="2:29" x14ac:dyDescent="0.15">
      <c r="B67">
        <f t="shared" si="29"/>
        <v>49</v>
      </c>
      <c r="C67">
        <f t="shared" si="27"/>
        <v>60.5</v>
      </c>
      <c r="D67">
        <f t="shared" si="28"/>
        <v>1.2727272727272727</v>
      </c>
      <c r="E67">
        <f t="shared" si="4"/>
        <v>72.921901198468419</v>
      </c>
      <c r="F67">
        <f t="shared" si="5"/>
        <v>57.83227314874437</v>
      </c>
      <c r="G67">
        <f t="shared" si="6"/>
        <v>17.767334703016687</v>
      </c>
      <c r="H67">
        <f t="shared" si="7"/>
        <v>42.732665296983313</v>
      </c>
      <c r="I67" s="65">
        <f t="shared" si="8"/>
        <v>0.22198787167264059</v>
      </c>
      <c r="J67">
        <f t="shared" si="9"/>
        <v>19.16772685125563</v>
      </c>
      <c r="K67" s="65">
        <f t="shared" si="2"/>
        <v>0.22198787167264059</v>
      </c>
      <c r="L67">
        <f t="shared" si="10"/>
        <v>19.891280768531203</v>
      </c>
      <c r="M67" s="66">
        <f t="shared" si="10"/>
        <v>0.22522500709800972</v>
      </c>
      <c r="N67">
        <f t="shared" si="11"/>
        <v>72.921901198468419</v>
      </c>
      <c r="O67">
        <f t="shared" si="12"/>
        <v>74.410103263743281</v>
      </c>
      <c r="P67">
        <f t="shared" si="15"/>
        <v>49</v>
      </c>
      <c r="Q67">
        <f t="shared" si="16"/>
        <v>136.125</v>
      </c>
      <c r="R67">
        <f t="shared" si="17"/>
        <v>0.84848484848484851</v>
      </c>
      <c r="S67">
        <f t="shared" si="18"/>
        <v>48.614600798978941</v>
      </c>
      <c r="T67">
        <f t="shared" si="19"/>
        <v>102.13180629042472</v>
      </c>
      <c r="U67">
        <f t="shared" si="20"/>
        <v>89.995054135519922</v>
      </c>
      <c r="V67">
        <f t="shared" si="21"/>
        <v>46.129945864480078</v>
      </c>
      <c r="W67" s="65">
        <f t="shared" si="13"/>
        <v>0.23963608241288353</v>
      </c>
      <c r="X67">
        <f t="shared" si="14"/>
        <v>13.36819370957528</v>
      </c>
      <c r="Y67" s="65">
        <f t="shared" si="22"/>
        <v>0.23963608241288353</v>
      </c>
      <c r="Z67">
        <f t="shared" si="23"/>
        <v>13.898722573069918</v>
      </c>
      <c r="AA67" s="66">
        <f t="shared" si="24"/>
        <v>0.24391495180930045</v>
      </c>
      <c r="AB67">
        <f t="shared" si="25"/>
        <v>48.614600798978941</v>
      </c>
      <c r="AC67">
        <f t="shared" si="26"/>
        <v>49.606735509162185</v>
      </c>
    </row>
    <row r="68" spans="2:29" x14ac:dyDescent="0.15">
      <c r="B68">
        <f t="shared" si="29"/>
        <v>50</v>
      </c>
      <c r="C68">
        <f t="shared" si="27"/>
        <v>59.29</v>
      </c>
      <c r="D68">
        <f t="shared" si="28"/>
        <v>1.2987012987012987</v>
      </c>
      <c r="E68">
        <f t="shared" si="4"/>
        <v>74.410103263743281</v>
      </c>
      <c r="F68">
        <f t="shared" si="5"/>
        <v>57.108719231468797</v>
      </c>
      <c r="G68">
        <f t="shared" si="6"/>
        <v>15.934186133633123</v>
      </c>
      <c r="H68">
        <f t="shared" si="7"/>
        <v>43.355813866366873</v>
      </c>
      <c r="I68" s="65">
        <f t="shared" si="8"/>
        <v>0.22522500709800972</v>
      </c>
      <c r="J68">
        <f t="shared" si="9"/>
        <v>19.891280768531203</v>
      </c>
      <c r="K68" s="65">
        <f t="shared" si="2"/>
        <v>0.22522500709800972</v>
      </c>
      <c r="L68" t="e">
        <f>NA()</f>
        <v>#N/A</v>
      </c>
      <c r="M68" s="66" t="e">
        <f>NA()</f>
        <v>#N/A</v>
      </c>
      <c r="N68">
        <f t="shared" si="11"/>
        <v>74.410103263743281</v>
      </c>
      <c r="O68" t="e">
        <f>NA()</f>
        <v>#N/A</v>
      </c>
      <c r="P68">
        <f t="shared" si="15"/>
        <v>50</v>
      </c>
      <c r="Q68">
        <f t="shared" si="16"/>
        <v>133.4025</v>
      </c>
      <c r="R68">
        <f t="shared" si="17"/>
        <v>0.86580086580086579</v>
      </c>
      <c r="S68">
        <f t="shared" si="18"/>
        <v>49.606735509162185</v>
      </c>
      <c r="T68">
        <f t="shared" si="19"/>
        <v>101.60127742693008</v>
      </c>
      <c r="U68">
        <f t="shared" si="20"/>
        <v>86.448871776709666</v>
      </c>
      <c r="V68">
        <f t="shared" si="21"/>
        <v>46.953628223290337</v>
      </c>
      <c r="W68" s="65">
        <f t="shared" si="13"/>
        <v>0.24391495180930045</v>
      </c>
      <c r="X68">
        <f t="shared" si="14"/>
        <v>13.898722573069918</v>
      </c>
      <c r="Y68" s="65">
        <f t="shared" si="22"/>
        <v>0.24391495180930045</v>
      </c>
      <c r="Z68" t="e">
        <f>NA()</f>
        <v>#N/A</v>
      </c>
      <c r="AA68" s="66" t="e">
        <f>NA()</f>
        <v>#N/A</v>
      </c>
      <c r="AB68">
        <f t="shared" si="25"/>
        <v>49.606735509162185</v>
      </c>
      <c r="AC68" t="e">
        <f>NA()</f>
        <v>#N/A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U37"/>
  <sheetViews>
    <sheetView showGridLines="0" workbookViewId="0"/>
  </sheetViews>
  <sheetFormatPr defaultRowHeight="12" x14ac:dyDescent="0.15"/>
  <cols>
    <col min="1" max="1" width="16.5" customWidth="1"/>
    <col min="2" max="2" width="3.75" customWidth="1"/>
    <col min="3" max="21" width="6" customWidth="1"/>
  </cols>
  <sheetData>
    <row r="2" spans="1:21" ht="15.75" x14ac:dyDescent="0.25">
      <c r="A2" s="60" t="s">
        <v>181</v>
      </c>
      <c r="B2" t="s">
        <v>182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21" x14ac:dyDescent="0.15">
      <c r="A3" t="s">
        <v>183</v>
      </c>
      <c r="C3" s="27">
        <f>HLOOKUP(RigNumber,DefaultTable,17)</f>
        <v>1250</v>
      </c>
      <c r="D3" t="s">
        <v>16</v>
      </c>
      <c r="F3" t="s">
        <v>184</v>
      </c>
      <c r="G3">
        <f>C3/2</f>
        <v>625</v>
      </c>
      <c r="H3" t="s">
        <v>16</v>
      </c>
    </row>
    <row r="4" spans="1:21" x14ac:dyDescent="0.15">
      <c r="A4" t="s">
        <v>185</v>
      </c>
      <c r="C4" s="27">
        <f>HLOOKUP(RigNumber,DefaultTable,5)</f>
        <v>385</v>
      </c>
      <c r="D4" t="s">
        <v>16</v>
      </c>
      <c r="F4" t="s">
        <v>186</v>
      </c>
      <c r="G4" s="13">
        <v>20</v>
      </c>
      <c r="H4" t="s">
        <v>16</v>
      </c>
    </row>
    <row r="6" spans="1:21" ht="15" x14ac:dyDescent="0.25">
      <c r="A6" s="53" t="s">
        <v>187</v>
      </c>
      <c r="B6" s="53"/>
      <c r="C6" s="54">
        <v>0.5</v>
      </c>
      <c r="D6" s="54">
        <v>0.71</v>
      </c>
      <c r="E6" s="54">
        <v>0.97</v>
      </c>
      <c r="F6" s="54">
        <v>1.2749999999999999</v>
      </c>
      <c r="G6" s="54">
        <v>1.6</v>
      </c>
      <c r="H6" s="54">
        <v>1.9750000000000001</v>
      </c>
      <c r="I6" s="54">
        <v>2.4</v>
      </c>
      <c r="J6" s="54">
        <v>2.85</v>
      </c>
      <c r="K6" s="54">
        <v>3.33</v>
      </c>
      <c r="L6" s="54">
        <v>3.85</v>
      </c>
      <c r="M6" s="54">
        <v>4.4000000000000004</v>
      </c>
      <c r="N6" s="54">
        <v>5</v>
      </c>
      <c r="O6" s="54">
        <v>5.6</v>
      </c>
      <c r="P6" s="54">
        <v>6.3</v>
      </c>
      <c r="Q6" s="54">
        <v>7</v>
      </c>
      <c r="R6" s="54">
        <v>7.7</v>
      </c>
      <c r="S6" s="54">
        <v>8.4499999999999993</v>
      </c>
      <c r="T6" s="54">
        <v>9.25</v>
      </c>
      <c r="U6" s="54">
        <v>10.050000000000001</v>
      </c>
    </row>
    <row r="7" spans="1:21" x14ac:dyDescent="0.15">
      <c r="A7" t="s">
        <v>188</v>
      </c>
      <c r="C7" s="28">
        <f t="shared" ref="C7:N7" si="0">($C$3-C6)/2</f>
        <v>624.75</v>
      </c>
      <c r="D7" s="28">
        <f t="shared" si="0"/>
        <v>624.64499999999998</v>
      </c>
      <c r="E7" s="28">
        <f t="shared" si="0"/>
        <v>624.51499999999999</v>
      </c>
      <c r="F7" s="28">
        <f t="shared" si="0"/>
        <v>624.36249999999995</v>
      </c>
      <c r="G7" s="28">
        <f t="shared" si="0"/>
        <v>624.20000000000005</v>
      </c>
      <c r="H7" s="28">
        <f t="shared" si="0"/>
        <v>624.01250000000005</v>
      </c>
      <c r="I7" s="28">
        <f t="shared" si="0"/>
        <v>623.79999999999995</v>
      </c>
      <c r="J7" s="28">
        <f t="shared" si="0"/>
        <v>623.57500000000005</v>
      </c>
      <c r="K7" s="28">
        <f t="shared" si="0"/>
        <v>623.33500000000004</v>
      </c>
      <c r="L7" s="28">
        <f t="shared" si="0"/>
        <v>623.07500000000005</v>
      </c>
      <c r="M7" s="28">
        <f t="shared" si="0"/>
        <v>622.79999999999995</v>
      </c>
      <c r="N7" s="28">
        <f t="shared" si="0"/>
        <v>622.5</v>
      </c>
      <c r="O7" s="28">
        <f t="shared" ref="O7:U7" si="1">($C$3-O6)/2</f>
        <v>622.20000000000005</v>
      </c>
      <c r="P7" s="28">
        <f t="shared" si="1"/>
        <v>621.85</v>
      </c>
      <c r="Q7" s="28">
        <f t="shared" si="1"/>
        <v>621.5</v>
      </c>
      <c r="R7" s="28">
        <f t="shared" si="1"/>
        <v>621.15</v>
      </c>
      <c r="S7" s="28">
        <f t="shared" si="1"/>
        <v>620.77499999999998</v>
      </c>
      <c r="T7" s="28">
        <f t="shared" si="1"/>
        <v>620.375</v>
      </c>
      <c r="U7" s="28">
        <f t="shared" si="1"/>
        <v>619.97500000000002</v>
      </c>
    </row>
    <row r="8" spans="1:21" x14ac:dyDescent="0.15">
      <c r="A8" t="s">
        <v>170</v>
      </c>
      <c r="C8" s="28">
        <f t="shared" ref="C8:N8" si="2">SQRT($G$3^2-C7^2)</f>
        <v>17.675901674313533</v>
      </c>
      <c r="D8" s="28">
        <f t="shared" si="2"/>
        <v>21.062382937360031</v>
      </c>
      <c r="E8" s="28">
        <f t="shared" si="2"/>
        <v>24.617367345026736</v>
      </c>
      <c r="F8" s="28">
        <f t="shared" si="2"/>
        <v>28.221775170070938</v>
      </c>
      <c r="G8" s="28">
        <f t="shared" si="2"/>
        <v>31.612655693565635</v>
      </c>
      <c r="H8" s="28">
        <f t="shared" si="2"/>
        <v>35.119792763482238</v>
      </c>
      <c r="I8" s="28">
        <f t="shared" si="2"/>
        <v>38.711238678193389</v>
      </c>
      <c r="J8" s="28">
        <f t="shared" si="2"/>
        <v>42.180793911446571</v>
      </c>
      <c r="K8" s="28">
        <f t="shared" si="2"/>
        <v>45.590325453981762</v>
      </c>
      <c r="L8" s="28">
        <f t="shared" si="2"/>
        <v>49.015756395264773</v>
      </c>
      <c r="M8" s="28">
        <f t="shared" si="2"/>
        <v>52.394274496361078</v>
      </c>
      <c r="N8" s="28">
        <f t="shared" si="2"/>
        <v>55.845769759221689</v>
      </c>
      <c r="O8" s="28">
        <f t="shared" ref="O8:U8" si="3">SQRT($G$3^2-O7^2)</f>
        <v>59.094500590155732</v>
      </c>
      <c r="P8" s="28">
        <f t="shared" si="3"/>
        <v>62.670387744132839</v>
      </c>
      <c r="Q8" s="28">
        <f t="shared" si="3"/>
        <v>66.051116568911993</v>
      </c>
      <c r="R8" s="28">
        <f t="shared" si="3"/>
        <v>69.26526907476827</v>
      </c>
      <c r="S8" s="28">
        <f t="shared" si="3"/>
        <v>72.549289279771983</v>
      </c>
      <c r="T8" s="28">
        <f t="shared" si="3"/>
        <v>75.893737389853186</v>
      </c>
      <c r="U8" s="28">
        <f t="shared" si="3"/>
        <v>79.094875782189305</v>
      </c>
    </row>
    <row r="9" spans="1:21" x14ac:dyDescent="0.15">
      <c r="A9" t="s">
        <v>189</v>
      </c>
      <c r="C9" s="12">
        <f t="shared" ref="C9:N9" si="4">$G$3^2/(2*C8)</f>
        <v>11049.648476141188</v>
      </c>
      <c r="D9" s="12">
        <f t="shared" si="4"/>
        <v>9273.0485710407738</v>
      </c>
      <c r="E9" s="12">
        <f t="shared" si="4"/>
        <v>7933.9312470980994</v>
      </c>
      <c r="F9" s="12">
        <f t="shared" si="4"/>
        <v>6920.6312793224997</v>
      </c>
      <c r="G9" s="12">
        <f t="shared" si="4"/>
        <v>6178.3009277437404</v>
      </c>
      <c r="H9" s="12">
        <f t="shared" si="4"/>
        <v>5561.3226796453955</v>
      </c>
      <c r="I9" s="12">
        <f t="shared" si="4"/>
        <v>5045.369424203478</v>
      </c>
      <c r="J9" s="12">
        <f t="shared" si="4"/>
        <v>4630.3656685560436</v>
      </c>
      <c r="K9" s="12">
        <f t="shared" si="4"/>
        <v>4284.0777742888831</v>
      </c>
      <c r="L9" s="12">
        <f t="shared" si="4"/>
        <v>3984.6880750955502</v>
      </c>
      <c r="M9" s="12">
        <f t="shared" si="4"/>
        <v>3727.7450995826839</v>
      </c>
      <c r="N9" s="12">
        <f t="shared" si="4"/>
        <v>3497.3553205925409</v>
      </c>
      <c r="O9" s="12">
        <f t="shared" ref="O9:U9" si="5">$G$3^2/(2*O8)</f>
        <v>3305.0875808998067</v>
      </c>
      <c r="P9" s="12">
        <f t="shared" si="5"/>
        <v>3116.5037752345011</v>
      </c>
      <c r="Q9" s="12">
        <f t="shared" si="5"/>
        <v>2956.9901334859028</v>
      </c>
      <c r="R9" s="12">
        <f t="shared" si="5"/>
        <v>2819.7753738481874</v>
      </c>
      <c r="S9" s="12">
        <f t="shared" si="5"/>
        <v>2692.1352633354682</v>
      </c>
      <c r="T9" s="12">
        <f t="shared" si="5"/>
        <v>2573.4995629048153</v>
      </c>
      <c r="U9" s="12">
        <f t="shared" si="5"/>
        <v>2469.3445443652968</v>
      </c>
    </row>
    <row r="10" spans="1:21" x14ac:dyDescent="0.15">
      <c r="A10" t="s">
        <v>190</v>
      </c>
      <c r="C10" s="15">
        <f t="shared" ref="C10:N10" si="6">($C$3/C9)/2</f>
        <v>5.6562885357803301E-2</v>
      </c>
      <c r="D10" s="15">
        <f t="shared" si="6"/>
        <v>6.7399625399552091E-2</v>
      </c>
      <c r="E10" s="15">
        <f t="shared" si="6"/>
        <v>7.8775575504085552E-2</v>
      </c>
      <c r="F10" s="15">
        <f t="shared" si="6"/>
        <v>9.0309680544227E-2</v>
      </c>
      <c r="G10" s="15">
        <f t="shared" si="6"/>
        <v>0.10116049821941003</v>
      </c>
      <c r="H10" s="15">
        <f t="shared" si="6"/>
        <v>0.11238333684314315</v>
      </c>
      <c r="I10" s="15">
        <f t="shared" si="6"/>
        <v>0.12387596377021885</v>
      </c>
      <c r="J10" s="15">
        <f t="shared" si="6"/>
        <v>0.13497854051662903</v>
      </c>
      <c r="K10" s="15">
        <f t="shared" si="6"/>
        <v>0.14588904145274165</v>
      </c>
      <c r="L10" s="15">
        <f t="shared" si="6"/>
        <v>0.15685042046484729</v>
      </c>
      <c r="M10" s="15">
        <f t="shared" si="6"/>
        <v>0.16766167838835544</v>
      </c>
      <c r="N10" s="15">
        <f t="shared" si="6"/>
        <v>0.17870646322950942</v>
      </c>
      <c r="O10" s="15">
        <f t="shared" ref="O10:U10" si="7">($C$3/O9)/2</f>
        <v>0.18910240188849833</v>
      </c>
      <c r="P10" s="15">
        <f t="shared" si="7"/>
        <v>0.2005452407812251</v>
      </c>
      <c r="Q10" s="15">
        <f t="shared" si="7"/>
        <v>0.21136357302051839</v>
      </c>
      <c r="R10" s="15">
        <f t="shared" si="7"/>
        <v>0.22164886103925846</v>
      </c>
      <c r="S10" s="15">
        <f t="shared" si="7"/>
        <v>0.23215772569527035</v>
      </c>
      <c r="T10" s="15">
        <f t="shared" si="7"/>
        <v>0.24285995964753018</v>
      </c>
      <c r="U10" s="15">
        <f t="shared" si="7"/>
        <v>0.25310360250300579</v>
      </c>
    </row>
    <row r="11" spans="1:21" x14ac:dyDescent="0.15">
      <c r="A11" t="s">
        <v>76</v>
      </c>
      <c r="B11" s="47">
        <v>0.5</v>
      </c>
      <c r="C11" s="28">
        <f>C$9*(COS(2*($B11-0.5)*C$10)-1)+C$8</f>
        <v>17.675901674313533</v>
      </c>
      <c r="D11" s="28">
        <f t="shared" ref="D11:U11" si="8">D$9*(COS(2*($B11-0.5)*D$10)-1)+D$8</f>
        <v>21.062382937360031</v>
      </c>
      <c r="E11" s="28">
        <f t="shared" si="8"/>
        <v>24.617367345026736</v>
      </c>
      <c r="F11" s="28">
        <f t="shared" si="8"/>
        <v>28.221775170070938</v>
      </c>
      <c r="G11" s="28">
        <f t="shared" si="8"/>
        <v>31.612655693565635</v>
      </c>
      <c r="H11" s="28">
        <f t="shared" si="8"/>
        <v>35.119792763482238</v>
      </c>
      <c r="I11" s="28">
        <f t="shared" si="8"/>
        <v>38.711238678193389</v>
      </c>
      <c r="J11" s="28">
        <f t="shared" si="8"/>
        <v>42.180793911446571</v>
      </c>
      <c r="K11" s="28">
        <f t="shared" si="8"/>
        <v>45.590325453981762</v>
      </c>
      <c r="L11" s="28">
        <f t="shared" si="8"/>
        <v>49.015756395264773</v>
      </c>
      <c r="M11" s="28">
        <f t="shared" si="8"/>
        <v>52.394274496361078</v>
      </c>
      <c r="N11" s="28">
        <f t="shared" si="8"/>
        <v>55.845769759221689</v>
      </c>
      <c r="O11" s="28">
        <f t="shared" si="8"/>
        <v>59.094500590155732</v>
      </c>
      <c r="P11" s="28">
        <f t="shared" si="8"/>
        <v>62.670387744132839</v>
      </c>
      <c r="Q11" s="28">
        <f t="shared" si="8"/>
        <v>66.051116568911993</v>
      </c>
      <c r="R11" s="28">
        <f t="shared" si="8"/>
        <v>69.26526907476827</v>
      </c>
      <c r="S11" s="28">
        <f t="shared" si="8"/>
        <v>72.549289279771983</v>
      </c>
      <c r="T11" s="28">
        <f t="shared" si="8"/>
        <v>75.893737389853186</v>
      </c>
      <c r="U11" s="28">
        <f t="shared" si="8"/>
        <v>79.094875782189305</v>
      </c>
    </row>
    <row r="12" spans="1:21" x14ac:dyDescent="0.15">
      <c r="A12" t="s">
        <v>191</v>
      </c>
      <c r="B12" s="47">
        <f>B11</f>
        <v>0.5</v>
      </c>
      <c r="C12" s="44">
        <f t="shared" ref="C12:N12" si="9">180*ASIN(C$11/($G$4+$B12*($C$4-$G$4)))/PI()</f>
        <v>5.0076299701130944</v>
      </c>
      <c r="D12" s="44">
        <f t="shared" si="9"/>
        <v>5.9702332600869328</v>
      </c>
      <c r="E12" s="44">
        <f t="shared" si="9"/>
        <v>6.9825614409542132</v>
      </c>
      <c r="F12" s="44">
        <f t="shared" si="9"/>
        <v>8.0112068364877942</v>
      </c>
      <c r="G12" s="44">
        <f t="shared" si="9"/>
        <v>8.9812873305242107</v>
      </c>
      <c r="H12" s="44">
        <f t="shared" si="9"/>
        <v>9.9873693080225472</v>
      </c>
      <c r="I12" s="44">
        <f t="shared" si="9"/>
        <v>11.020874093851512</v>
      </c>
      <c r="J12" s="44">
        <f t="shared" si="9"/>
        <v>12.022759184875895</v>
      </c>
      <c r="K12" s="44">
        <f t="shared" si="9"/>
        <v>13.010958473256812</v>
      </c>
      <c r="L12" s="44">
        <f t="shared" si="9"/>
        <v>14.007748788717876</v>
      </c>
      <c r="M12" s="44">
        <f t="shared" si="9"/>
        <v>14.995142761921588</v>
      </c>
      <c r="N12" s="44">
        <f t="shared" si="9"/>
        <v>16.008596577641061</v>
      </c>
      <c r="O12" s="44">
        <f t="shared" ref="O12:U12" si="10">180*ASIN(O$11/($G$4+$B12*($C$4-$G$4)))/PI()</f>
        <v>16.967229430087247</v>
      </c>
      <c r="P12" s="44">
        <f t="shared" si="10"/>
        <v>18.028100317887219</v>
      </c>
      <c r="Q12" s="44">
        <f t="shared" si="10"/>
        <v>19.036980461657159</v>
      </c>
      <c r="R12" s="44">
        <f t="shared" si="10"/>
        <v>20.001863839919647</v>
      </c>
      <c r="S12" s="44">
        <f t="shared" si="10"/>
        <v>20.993871856720688</v>
      </c>
      <c r="T12" s="44">
        <f t="shared" si="10"/>
        <v>22.010956450120805</v>
      </c>
      <c r="U12" s="44">
        <f t="shared" si="10"/>
        <v>22.991339086512902</v>
      </c>
    </row>
    <row r="13" spans="1:21" x14ac:dyDescent="0.15">
      <c r="C13" s="15">
        <f>C6</f>
        <v>0.5</v>
      </c>
      <c r="D13" s="15">
        <f t="shared" ref="D13:U13" si="11">D6</f>
        <v>0.71</v>
      </c>
      <c r="E13" s="15">
        <f t="shared" si="11"/>
        <v>0.97</v>
      </c>
      <c r="F13" s="15">
        <f t="shared" si="11"/>
        <v>1.2749999999999999</v>
      </c>
      <c r="G13" s="15">
        <f t="shared" si="11"/>
        <v>1.6</v>
      </c>
      <c r="H13" s="15">
        <f t="shared" si="11"/>
        <v>1.9750000000000001</v>
      </c>
      <c r="I13" s="15">
        <f t="shared" si="11"/>
        <v>2.4</v>
      </c>
      <c r="J13" s="15">
        <f t="shared" si="11"/>
        <v>2.85</v>
      </c>
      <c r="K13" s="15">
        <f t="shared" si="11"/>
        <v>3.33</v>
      </c>
      <c r="L13" s="15">
        <f t="shared" si="11"/>
        <v>3.85</v>
      </c>
      <c r="M13" s="15">
        <f t="shared" si="11"/>
        <v>4.4000000000000004</v>
      </c>
      <c r="N13" s="15">
        <f t="shared" si="11"/>
        <v>5</v>
      </c>
      <c r="O13" s="15">
        <f t="shared" si="11"/>
        <v>5.6</v>
      </c>
      <c r="P13" s="15">
        <f t="shared" si="11"/>
        <v>6.3</v>
      </c>
      <c r="Q13" s="15">
        <f t="shared" si="11"/>
        <v>7</v>
      </c>
      <c r="R13" s="15">
        <f t="shared" si="11"/>
        <v>7.7</v>
      </c>
      <c r="S13" s="15">
        <f t="shared" si="11"/>
        <v>8.4499999999999993</v>
      </c>
      <c r="T13" s="15">
        <f t="shared" si="11"/>
        <v>9.25</v>
      </c>
      <c r="U13" s="15">
        <f t="shared" si="11"/>
        <v>10.050000000000001</v>
      </c>
    </row>
    <row r="14" spans="1:21" x14ac:dyDescent="0.15">
      <c r="C14" s="15">
        <f>D6</f>
        <v>0.71</v>
      </c>
      <c r="D14" s="15">
        <f t="shared" ref="D14:T14" si="12">E6</f>
        <v>0.97</v>
      </c>
      <c r="E14" s="15">
        <f t="shared" si="12"/>
        <v>1.2749999999999999</v>
      </c>
      <c r="F14" s="15">
        <f t="shared" si="12"/>
        <v>1.6</v>
      </c>
      <c r="G14" s="15">
        <f t="shared" si="12"/>
        <v>1.9750000000000001</v>
      </c>
      <c r="H14" s="15">
        <f t="shared" si="12"/>
        <v>2.4</v>
      </c>
      <c r="I14" s="15">
        <f t="shared" si="12"/>
        <v>2.85</v>
      </c>
      <c r="J14" s="15">
        <f t="shared" si="12"/>
        <v>3.33</v>
      </c>
      <c r="K14" s="15">
        <f t="shared" si="12"/>
        <v>3.85</v>
      </c>
      <c r="L14" s="15">
        <f t="shared" si="12"/>
        <v>4.4000000000000004</v>
      </c>
      <c r="M14" s="15">
        <f t="shared" si="12"/>
        <v>5</v>
      </c>
      <c r="N14" s="15">
        <f t="shared" si="12"/>
        <v>5.6</v>
      </c>
      <c r="O14" s="15">
        <f t="shared" si="12"/>
        <v>6.3</v>
      </c>
      <c r="P14" s="15">
        <f t="shared" si="12"/>
        <v>7</v>
      </c>
      <c r="Q14" s="15">
        <f t="shared" si="12"/>
        <v>7.7</v>
      </c>
      <c r="R14" s="15">
        <f t="shared" si="12"/>
        <v>8.4499999999999993</v>
      </c>
      <c r="S14" s="15">
        <f t="shared" si="12"/>
        <v>9.25</v>
      </c>
      <c r="T14" s="15">
        <f t="shared" si="12"/>
        <v>10.050000000000001</v>
      </c>
      <c r="U14" s="15" t="e">
        <f>NA()</f>
        <v>#N/A</v>
      </c>
    </row>
    <row r="16" spans="1:21" x14ac:dyDescent="0.15">
      <c r="A16" t="s">
        <v>192</v>
      </c>
      <c r="C16">
        <f>HLOOKUP(RigNumber,DefaultTable,18)</f>
        <v>35</v>
      </c>
    </row>
    <row r="17" spans="1:21" x14ac:dyDescent="0.15">
      <c r="A17" t="s">
        <v>105</v>
      </c>
      <c r="C17" s="50">
        <f>180*ASIN(C16/($G$4+$B12*($C$4-$G$4)))/PI()</f>
        <v>9.9529551683004005</v>
      </c>
    </row>
    <row r="18" spans="1:21" x14ac:dyDescent="0.15">
      <c r="A18" t="s">
        <v>193</v>
      </c>
      <c r="C18">
        <f>HLOOKUP(C16,C11:U14,3)</f>
        <v>1.6</v>
      </c>
    </row>
    <row r="19" spans="1:21" x14ac:dyDescent="0.15">
      <c r="A19" t="s">
        <v>194</v>
      </c>
      <c r="C19">
        <f>HLOOKUP(C16,C11:U14,4)</f>
        <v>1.9750000000000001</v>
      </c>
    </row>
    <row r="20" spans="1:21" x14ac:dyDescent="0.15">
      <c r="A20" t="s">
        <v>195</v>
      </c>
      <c r="C20">
        <f>C19-C18</f>
        <v>0.375</v>
      </c>
    </row>
    <row r="21" spans="1:21" x14ac:dyDescent="0.15">
      <c r="A21" t="s">
        <v>196</v>
      </c>
      <c r="C21">
        <f>HLOOKUP(C16,C11:U14,2)</f>
        <v>8.9812873305242107</v>
      </c>
    </row>
    <row r="22" spans="1:21" x14ac:dyDescent="0.15">
      <c r="A22" t="s">
        <v>197</v>
      </c>
      <c r="C22">
        <f>HLOOKUP(C19,C6:U14,7)</f>
        <v>9.9873693080225472</v>
      </c>
    </row>
    <row r="23" spans="1:21" x14ac:dyDescent="0.15">
      <c r="A23" t="s">
        <v>198</v>
      </c>
      <c r="C23" s="47">
        <f>(C17-C21)/(C22-C21)</f>
        <v>0.96579390100226337</v>
      </c>
    </row>
    <row r="24" spans="1:21" x14ac:dyDescent="0.15">
      <c r="A24" t="s">
        <v>199</v>
      </c>
      <c r="C24" s="51">
        <f>C18+C23*C20</f>
        <v>1.9621727128758488</v>
      </c>
      <c r="E24" t="s">
        <v>200</v>
      </c>
    </row>
    <row r="25" spans="1:21" x14ac:dyDescent="0.15">
      <c r="A25" t="s">
        <v>201</v>
      </c>
      <c r="G25">
        <f>JsSagTwist</f>
        <v>10.304058890605354</v>
      </c>
      <c r="H25" t="s">
        <v>16</v>
      </c>
    </row>
    <row r="26" spans="1:21" x14ac:dyDescent="0.15">
      <c r="C26" s="15">
        <f>C6</f>
        <v>0.5</v>
      </c>
      <c r="D26" s="15">
        <f t="shared" ref="D26:U26" si="13">D6</f>
        <v>0.71</v>
      </c>
      <c r="E26" s="15">
        <f t="shared" si="13"/>
        <v>0.97</v>
      </c>
      <c r="F26" s="15">
        <f t="shared" si="13"/>
        <v>1.2749999999999999</v>
      </c>
      <c r="G26" s="15">
        <f t="shared" si="13"/>
        <v>1.6</v>
      </c>
      <c r="H26" s="15">
        <f t="shared" si="13"/>
        <v>1.9750000000000001</v>
      </c>
      <c r="I26" s="15">
        <f t="shared" si="13"/>
        <v>2.4</v>
      </c>
      <c r="J26" s="15">
        <f t="shared" si="13"/>
        <v>2.85</v>
      </c>
      <c r="K26" s="15">
        <f t="shared" si="13"/>
        <v>3.33</v>
      </c>
      <c r="L26" s="15">
        <f t="shared" si="13"/>
        <v>3.85</v>
      </c>
      <c r="M26" s="15">
        <f t="shared" si="13"/>
        <v>4.4000000000000004</v>
      </c>
      <c r="N26" s="15">
        <f t="shared" si="13"/>
        <v>5</v>
      </c>
      <c r="O26" s="15">
        <f t="shared" si="13"/>
        <v>5.6</v>
      </c>
      <c r="P26" s="15">
        <f t="shared" si="13"/>
        <v>6.3</v>
      </c>
      <c r="Q26" s="15">
        <f t="shared" si="13"/>
        <v>7</v>
      </c>
      <c r="R26" s="15">
        <f t="shared" si="13"/>
        <v>7.7</v>
      </c>
      <c r="S26" s="15">
        <f t="shared" si="13"/>
        <v>8.4499999999999993</v>
      </c>
      <c r="T26" s="15">
        <f t="shared" si="13"/>
        <v>9.25</v>
      </c>
      <c r="U26" s="15">
        <f t="shared" si="13"/>
        <v>10.050000000000001</v>
      </c>
    </row>
    <row r="27" spans="1:21" x14ac:dyDescent="0.15">
      <c r="A27" t="s">
        <v>202</v>
      </c>
      <c r="C27">
        <f t="shared" ref="C27:U27" si="14">C$9*(COS(2*($B11-0.5)*C$10)-1)+C$8-$G$25</f>
        <v>7.3718427837081784</v>
      </c>
      <c r="D27">
        <f t="shared" si="14"/>
        <v>10.758324046754677</v>
      </c>
      <c r="E27">
        <f t="shared" si="14"/>
        <v>14.313308454421382</v>
      </c>
      <c r="F27">
        <f t="shared" si="14"/>
        <v>17.917716279465584</v>
      </c>
      <c r="G27">
        <f t="shared" si="14"/>
        <v>21.308596802960281</v>
      </c>
      <c r="H27">
        <f t="shared" si="14"/>
        <v>24.815733872876883</v>
      </c>
      <c r="I27">
        <f t="shared" si="14"/>
        <v>28.407179787588035</v>
      </c>
      <c r="J27">
        <f t="shared" si="14"/>
        <v>31.876735020841217</v>
      </c>
      <c r="K27">
        <f t="shared" si="14"/>
        <v>35.286266563376408</v>
      </c>
      <c r="L27">
        <f t="shared" si="14"/>
        <v>38.711697504659419</v>
      </c>
      <c r="M27">
        <f t="shared" si="14"/>
        <v>42.090215605755724</v>
      </c>
      <c r="N27">
        <f t="shared" si="14"/>
        <v>45.541710868616335</v>
      </c>
      <c r="O27">
        <f t="shared" si="14"/>
        <v>48.790441699550378</v>
      </c>
      <c r="P27">
        <f t="shared" si="14"/>
        <v>52.366328853527484</v>
      </c>
      <c r="Q27">
        <f t="shared" si="14"/>
        <v>55.747057678306639</v>
      </c>
      <c r="R27">
        <f t="shared" si="14"/>
        <v>58.961210184162915</v>
      </c>
      <c r="S27">
        <f t="shared" si="14"/>
        <v>62.245230389166629</v>
      </c>
      <c r="T27">
        <f t="shared" si="14"/>
        <v>65.589678499247839</v>
      </c>
      <c r="U27">
        <f t="shared" si="14"/>
        <v>68.790816891583944</v>
      </c>
    </row>
    <row r="28" spans="1:21" x14ac:dyDescent="0.15">
      <c r="A28" t="s">
        <v>203</v>
      </c>
      <c r="C28">
        <f>180*ASIN(C$27/($G$4+$B12*($C$4-$G$4)))/PI()</f>
        <v>2.0862658149169131</v>
      </c>
      <c r="D28">
        <f t="shared" ref="D28:U28" si="15">180*ASIN(D$27/($G$4+$B12*($C$4-$G$4)))/PI()</f>
        <v>3.0454168042201362</v>
      </c>
      <c r="E28">
        <f t="shared" si="15"/>
        <v>4.0532176813718817</v>
      </c>
      <c r="F28">
        <f t="shared" si="15"/>
        <v>5.0763152835480803</v>
      </c>
      <c r="G28">
        <f t="shared" si="15"/>
        <v>6.040281943996292</v>
      </c>
      <c r="H28">
        <f t="shared" si="15"/>
        <v>7.0391105018586089</v>
      </c>
      <c r="I28">
        <f t="shared" si="15"/>
        <v>8.0641860667553882</v>
      </c>
      <c r="J28">
        <f t="shared" si="15"/>
        <v>9.0569418865232052</v>
      </c>
      <c r="K28">
        <f t="shared" si="15"/>
        <v>10.035200052684045</v>
      </c>
      <c r="L28">
        <f t="shared" si="15"/>
        <v>11.021006354416103</v>
      </c>
      <c r="M28">
        <f t="shared" si="15"/>
        <v>11.996557273419684</v>
      </c>
      <c r="N28">
        <f t="shared" si="15"/>
        <v>12.996841321451406</v>
      </c>
      <c r="O28">
        <f t="shared" si="15"/>
        <v>13.942053286168754</v>
      </c>
      <c r="P28">
        <f t="shared" si="15"/>
        <v>14.98695717623111</v>
      </c>
      <c r="Q28">
        <f t="shared" si="15"/>
        <v>15.979542078584167</v>
      </c>
      <c r="R28">
        <f t="shared" si="15"/>
        <v>16.927803789102935</v>
      </c>
      <c r="S28">
        <f t="shared" si="15"/>
        <v>17.901639893593085</v>
      </c>
      <c r="T28">
        <f t="shared" si="15"/>
        <v>18.898923758272396</v>
      </c>
      <c r="U28">
        <f t="shared" si="15"/>
        <v>19.859068879758468</v>
      </c>
    </row>
    <row r="29" spans="1:21" x14ac:dyDescent="0.15">
      <c r="C29" s="15">
        <f>C6</f>
        <v>0.5</v>
      </c>
      <c r="D29" s="15">
        <f t="shared" ref="D29:U29" si="16">D6</f>
        <v>0.71</v>
      </c>
      <c r="E29" s="15">
        <f t="shared" si="16"/>
        <v>0.97</v>
      </c>
      <c r="F29" s="15">
        <f t="shared" si="16"/>
        <v>1.2749999999999999</v>
      </c>
      <c r="G29" s="15">
        <f t="shared" si="16"/>
        <v>1.6</v>
      </c>
      <c r="H29" s="15">
        <f t="shared" si="16"/>
        <v>1.9750000000000001</v>
      </c>
      <c r="I29" s="15">
        <f t="shared" si="16"/>
        <v>2.4</v>
      </c>
      <c r="J29" s="15">
        <f t="shared" si="16"/>
        <v>2.85</v>
      </c>
      <c r="K29" s="15">
        <f t="shared" si="16"/>
        <v>3.33</v>
      </c>
      <c r="L29" s="15">
        <f t="shared" si="16"/>
        <v>3.85</v>
      </c>
      <c r="M29" s="15">
        <f t="shared" si="16"/>
        <v>4.4000000000000004</v>
      </c>
      <c r="N29" s="15">
        <f t="shared" si="16"/>
        <v>5</v>
      </c>
      <c r="O29" s="15">
        <f t="shared" si="16"/>
        <v>5.6</v>
      </c>
      <c r="P29" s="15">
        <f t="shared" si="16"/>
        <v>6.3</v>
      </c>
      <c r="Q29" s="15">
        <f t="shared" si="16"/>
        <v>7</v>
      </c>
      <c r="R29" s="15">
        <f t="shared" si="16"/>
        <v>7.7</v>
      </c>
      <c r="S29" s="15">
        <f t="shared" si="16"/>
        <v>8.4499999999999993</v>
      </c>
      <c r="T29" s="15">
        <f t="shared" si="16"/>
        <v>9.25</v>
      </c>
      <c r="U29" s="15">
        <f t="shared" si="16"/>
        <v>10.050000000000001</v>
      </c>
    </row>
    <row r="30" spans="1:21" x14ac:dyDescent="0.15">
      <c r="C30" s="15">
        <f t="shared" ref="C30:T30" si="17">D6</f>
        <v>0.71</v>
      </c>
      <c r="D30" s="15">
        <f t="shared" si="17"/>
        <v>0.97</v>
      </c>
      <c r="E30" s="15">
        <f t="shared" si="17"/>
        <v>1.2749999999999999</v>
      </c>
      <c r="F30" s="15">
        <f t="shared" si="17"/>
        <v>1.6</v>
      </c>
      <c r="G30" s="15">
        <f t="shared" si="17"/>
        <v>1.9750000000000001</v>
      </c>
      <c r="H30" s="15">
        <f t="shared" si="17"/>
        <v>2.4</v>
      </c>
      <c r="I30" s="15">
        <f t="shared" si="17"/>
        <v>2.85</v>
      </c>
      <c r="J30" s="15">
        <f t="shared" si="17"/>
        <v>3.33</v>
      </c>
      <c r="K30" s="15">
        <f t="shared" si="17"/>
        <v>3.85</v>
      </c>
      <c r="L30" s="15">
        <f t="shared" si="17"/>
        <v>4.4000000000000004</v>
      </c>
      <c r="M30" s="15">
        <f t="shared" si="17"/>
        <v>5</v>
      </c>
      <c r="N30" s="15">
        <f t="shared" si="17"/>
        <v>5.6</v>
      </c>
      <c r="O30" s="15">
        <f t="shared" si="17"/>
        <v>6.3</v>
      </c>
      <c r="P30" s="15">
        <f t="shared" si="17"/>
        <v>7</v>
      </c>
      <c r="Q30" s="15">
        <f t="shared" si="17"/>
        <v>7.7</v>
      </c>
      <c r="R30" s="15">
        <f t="shared" si="17"/>
        <v>8.4499999999999993</v>
      </c>
      <c r="S30" s="15">
        <f t="shared" si="17"/>
        <v>9.25</v>
      </c>
      <c r="T30" s="15">
        <f t="shared" si="17"/>
        <v>10.050000000000001</v>
      </c>
      <c r="U30" s="15" t="e">
        <f>NA()</f>
        <v>#N/A</v>
      </c>
    </row>
    <row r="32" spans="1:21" x14ac:dyDescent="0.15">
      <c r="A32" t="s">
        <v>204</v>
      </c>
      <c r="C32">
        <f>TlLiftTotal</f>
        <v>2.7669298282061137</v>
      </c>
    </row>
    <row r="33" spans="1:5" x14ac:dyDescent="0.15">
      <c r="A33" t="s">
        <v>205</v>
      </c>
      <c r="C33">
        <f>HLOOKUP(C32,C26:U30,5)</f>
        <v>2.85</v>
      </c>
    </row>
    <row r="34" spans="1:5" x14ac:dyDescent="0.15">
      <c r="A34" t="s">
        <v>206</v>
      </c>
      <c r="C34">
        <f>HLOOKUP(C32,C26:U30,4)</f>
        <v>2.4</v>
      </c>
    </row>
    <row r="35" spans="1:5" x14ac:dyDescent="0.15">
      <c r="A35" t="s">
        <v>197</v>
      </c>
      <c r="C35">
        <f>HLOOKUP(C33,C26:U30,3)</f>
        <v>9.0569418865232052</v>
      </c>
    </row>
    <row r="36" spans="1:5" x14ac:dyDescent="0.15">
      <c r="A36" t="s">
        <v>196</v>
      </c>
      <c r="C36">
        <f>HLOOKUP(C32,C26:U30,3)</f>
        <v>8.0641860667553882</v>
      </c>
    </row>
    <row r="37" spans="1:5" x14ac:dyDescent="0.15">
      <c r="A37" t="s">
        <v>207</v>
      </c>
      <c r="C37" s="51">
        <f>C36+(C35-C36)*(C32-C34)/(C33-C34)</f>
        <v>8.8736787831954427</v>
      </c>
      <c r="E37" t="s">
        <v>200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105</vt:i4>
      </vt:variant>
    </vt:vector>
  </HeadingPairs>
  <TitlesOfParts>
    <vt:vector size="113" baseType="lpstr">
      <vt:lpstr>Tensions</vt:lpstr>
      <vt:lpstr>Tension graphs</vt:lpstr>
      <vt:lpstr>Heel graphs</vt:lpstr>
      <vt:lpstr>Sag graphs</vt:lpstr>
      <vt:lpstr>Twist graphs</vt:lpstr>
      <vt:lpstr>JS sag</vt:lpstr>
      <vt:lpstr>Sag draft</vt:lpstr>
      <vt:lpstr>Twist</vt:lpstr>
      <vt:lpstr>AdditSag</vt:lpstr>
      <vt:lpstr>AppWindAngle</vt:lpstr>
      <vt:lpstr>BsAngle</vt:lpstr>
      <vt:lpstr>BsBase</vt:lpstr>
      <vt:lpstr>BsHt</vt:lpstr>
      <vt:lpstr>BsTens</vt:lpstr>
      <vt:lpstr>BsTensHoriz</vt:lpstr>
      <vt:lpstr>BsTensVert</vt:lpstr>
      <vt:lpstr>BulbWt</vt:lpstr>
      <vt:lpstr>CoefDrag</vt:lpstr>
      <vt:lpstr>CoefLift</vt:lpstr>
      <vt:lpstr>DefaultGap</vt:lpstr>
      <vt:lpstr>DefaultLift</vt:lpstr>
      <vt:lpstr>DefaultPivotOffset</vt:lpstr>
      <vt:lpstr>DefaultTable</vt:lpstr>
      <vt:lpstr>DefaultTwist</vt:lpstr>
      <vt:lpstr>DefaultWindSpeed</vt:lpstr>
      <vt:lpstr>Density</vt:lpstr>
      <vt:lpstr>DraftInterp</vt:lpstr>
      <vt:lpstr>Draught</vt:lpstr>
      <vt:lpstr>ElongAdjust</vt:lpstr>
      <vt:lpstr>EntryInterp</vt:lpstr>
      <vt:lpstr>EntryNominal</vt:lpstr>
      <vt:lpstr>FirstCutSag</vt:lpstr>
      <vt:lpstr>HeelAngle</vt:lpstr>
      <vt:lpstr>HeelGraphAppWind</vt:lpstr>
      <vt:lpstr>HeelMacroHeel</vt:lpstr>
      <vt:lpstr>HoundsBsHoriz</vt:lpstr>
      <vt:lpstr>HoundsHt</vt:lpstr>
      <vt:lpstr>HoundsShHoriz</vt:lpstr>
      <vt:lpstr>JibAngle</vt:lpstr>
      <vt:lpstr>JibArea</vt:lpstr>
      <vt:lpstr>JibBase</vt:lpstr>
      <vt:lpstr>JibBoom</vt:lpstr>
      <vt:lpstr>JibContrib</vt:lpstr>
      <vt:lpstr>JibContribFactor</vt:lpstr>
      <vt:lpstr>JibDrag</vt:lpstr>
      <vt:lpstr>JibDrive</vt:lpstr>
      <vt:lpstr>JibHt</vt:lpstr>
      <vt:lpstr>JibLever</vt:lpstr>
      <vt:lpstr>JibLift</vt:lpstr>
      <vt:lpstr>JibSide</vt:lpstr>
      <vt:lpstr>JibTensHoriz</vt:lpstr>
      <vt:lpstr>JibTensVert</vt:lpstr>
      <vt:lpstr>JsLength</vt:lpstr>
      <vt:lpstr>JsLeverage</vt:lpstr>
      <vt:lpstr>JsSagAngle</vt:lpstr>
      <vt:lpstr>JsSagDraft</vt:lpstr>
      <vt:lpstr>JsSagTotal</vt:lpstr>
      <vt:lpstr>JsSagTwist</vt:lpstr>
      <vt:lpstr>JsStretch</vt:lpstr>
      <vt:lpstr>JsTensStatic</vt:lpstr>
      <vt:lpstr>LuffAllow</vt:lpstr>
      <vt:lpstr>MacroPivot</vt:lpstr>
      <vt:lpstr>MacroWind</vt:lpstr>
      <vt:lpstr>MaxDraft</vt:lpstr>
      <vt:lpstr>MidLeechTwist</vt:lpstr>
      <vt:lpstr>Modulus</vt:lpstr>
      <vt:lpstr>NominalDraft</vt:lpstr>
      <vt:lpstr>NominalSag</vt:lpstr>
      <vt:lpstr>PivotIncrem</vt:lpstr>
      <vt:lpstr>PivotMacroJs</vt:lpstr>
      <vt:lpstr>PivotMacroTl</vt:lpstr>
      <vt:lpstr>PivotOffset</vt:lpstr>
      <vt:lpstr>RevJsTens</vt:lpstr>
      <vt:lpstr>RevTlTens</vt:lpstr>
      <vt:lpstr>RigNumber</vt:lpstr>
      <vt:lpstr>SagDistrib</vt:lpstr>
      <vt:lpstr>SagForce</vt:lpstr>
      <vt:lpstr>SagForceTable</vt:lpstr>
      <vt:lpstr>SagIncrement</vt:lpstr>
      <vt:lpstr>SagMacroDraft</vt:lpstr>
      <vt:lpstr>SagMacroEntry</vt:lpstr>
      <vt:lpstr>SagMacroNominalDraft</vt:lpstr>
      <vt:lpstr>SagMacroNominalTwist</vt:lpstr>
      <vt:lpstr>SagMacroSag</vt:lpstr>
      <vt:lpstr>SagMacroTwist</vt:lpstr>
      <vt:lpstr>SagpMacroSag</vt:lpstr>
      <vt:lpstr>SagpMacroTwist</vt:lpstr>
      <vt:lpstr>SagStart</vt:lpstr>
      <vt:lpstr>SagTable</vt:lpstr>
      <vt:lpstr>SagTableMaxSag</vt:lpstr>
      <vt:lpstr>SagTensTable</vt:lpstr>
      <vt:lpstr>SailCE</vt:lpstr>
      <vt:lpstr>ShAngle</vt:lpstr>
      <vt:lpstr>ShBaseAngle</vt:lpstr>
      <vt:lpstr>ShHt</vt:lpstr>
      <vt:lpstr>ShOffset</vt:lpstr>
      <vt:lpstr>ShTens</vt:lpstr>
      <vt:lpstr>ShTensHoriz</vt:lpstr>
      <vt:lpstr>ShTensVert</vt:lpstr>
      <vt:lpstr>SinHeel</vt:lpstr>
      <vt:lpstr>TlLeverForce</vt:lpstr>
      <vt:lpstr>TlLiftTotal</vt:lpstr>
      <vt:lpstr>TlRelDist</vt:lpstr>
      <vt:lpstr>TlRelForce</vt:lpstr>
      <vt:lpstr>TlTensStatic</vt:lpstr>
      <vt:lpstr>TotJib</vt:lpstr>
      <vt:lpstr>TotNomEntry</vt:lpstr>
      <vt:lpstr>TotTensVertStatic</vt:lpstr>
      <vt:lpstr>TotWindEntry</vt:lpstr>
      <vt:lpstr>WindIncrem</vt:lpstr>
      <vt:lpstr>WindMacroJs</vt:lpstr>
      <vt:lpstr>WindMacroTl</vt:lpstr>
      <vt:lpstr>WindSpeed</vt:lpstr>
    </vt:vector>
  </TitlesOfParts>
  <Company>Soton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User</cp:lastModifiedBy>
  <cp:lastPrinted>2002-01-24T16:42:52Z</cp:lastPrinted>
  <dcterms:created xsi:type="dcterms:W3CDTF">2002-01-02T22:13:26Z</dcterms:created>
  <dcterms:modified xsi:type="dcterms:W3CDTF">2020-11-09T16:23:47Z</dcterms:modified>
</cp:coreProperties>
</file>